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mc:AlternateContent xmlns:mc="http://schemas.openxmlformats.org/markup-compatibility/2006">
    <mc:Choice Requires="x15">
      <x15ac:absPath xmlns:x15ac="http://schemas.microsoft.com/office/spreadsheetml/2010/11/ac" url="https://klimaatwerk.sharepoint.com/Gedeelde documenten/0 Projecten/Lopend/006_VvE Vangnet 3_BZK_2024/03 Werkdocumenten/NWF/"/>
    </mc:Choice>
  </mc:AlternateContent>
  <xr:revisionPtr revIDLastSave="1832" documentId="8_{2695BC16-0894-6847-8906-777637D41BFE}" xr6:coauthVersionLast="47" xr6:coauthVersionMax="47" xr10:uidLastSave="{5D92925A-7FB6-C34C-97E0-B98183F0D6FF}"/>
  <bookViews>
    <workbookView xWindow="-3840" yWindow="-20220" windowWidth="28640" windowHeight="17200" xr2:uid="{6CB0368E-CF87-46A9-9725-218B61D1BE1A}"/>
  </bookViews>
  <sheets>
    <sheet name="VOORBLAD" sheetId="13" r:id="rId1"/>
    <sheet name="Hoofdblad" sheetId="8" r:id="rId2"/>
    <sheet name="LASTEN" sheetId="9" r:id="rId3"/>
    <sheet name="Stadspas" sheetId="5" r:id="rId4"/>
    <sheet name="Ledenlening" sheetId="6" r:id="rId5"/>
    <sheet name="Overig" sheetId="7" r:id="rId6"/>
    <sheet name="DRAAGKRACHT" sheetId="10" r:id="rId7"/>
    <sheet name="Draagkrachtberekening" sheetId="12"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 i="7" l="1"/>
  <c r="T4" i="7"/>
  <c r="C15" i="7"/>
  <c r="C14" i="7"/>
  <c r="C13" i="7"/>
  <c r="C12" i="7"/>
  <c r="C11" i="7"/>
  <c r="C10" i="7"/>
  <c r="C6" i="7"/>
  <c r="M5" i="7"/>
  <c r="F5" i="7"/>
  <c r="C5" i="7"/>
  <c r="M4" i="7"/>
  <c r="F4" i="7"/>
  <c r="C4" i="7"/>
  <c r="T5" i="6"/>
  <c r="M5" i="6"/>
  <c r="T4" i="6"/>
  <c r="M4" i="6"/>
  <c r="C15" i="6"/>
  <c r="C14" i="6"/>
  <c r="C13" i="6"/>
  <c r="C12" i="6"/>
  <c r="C11" i="6"/>
  <c r="C10" i="6"/>
  <c r="F5" i="6"/>
  <c r="F4" i="6"/>
  <c r="C14" i="5"/>
  <c r="C13" i="5"/>
  <c r="C12" i="5"/>
  <c r="C11" i="5"/>
  <c r="C10" i="5"/>
  <c r="C9" i="5"/>
  <c r="C6" i="5"/>
  <c r="C5" i="5"/>
  <c r="V4" i="5"/>
  <c r="N4" i="5"/>
  <c r="F4" i="5"/>
  <c r="C4" i="5"/>
  <c r="V3" i="5"/>
  <c r="N3" i="5"/>
  <c r="F3" i="5"/>
  <c r="C3" i="5"/>
  <c r="T6" i="7" l="1"/>
  <c r="T7" i="7" s="1"/>
  <c r="T8" i="7" s="1"/>
  <c r="T9" i="7" s="1"/>
  <c r="F6" i="7"/>
  <c r="F7" i="7" s="1"/>
  <c r="F8" i="7" s="1"/>
  <c r="F9" i="7" s="1"/>
  <c r="M6" i="7"/>
  <c r="M7" i="7" s="1"/>
  <c r="M8" i="7" s="1"/>
  <c r="M9" i="7" s="1"/>
  <c r="V5" i="5"/>
  <c r="V6" i="5" s="1"/>
  <c r="V7" i="5" s="1"/>
  <c r="F5" i="5"/>
  <c r="F6" i="5" s="1"/>
  <c r="N5" i="5"/>
  <c r="N6" i="5" s="1"/>
  <c r="V8" i="5" l="1"/>
  <c r="V17" i="5" s="1"/>
  <c r="T10" i="7"/>
  <c r="F10" i="7"/>
  <c r="M10" i="7"/>
  <c r="V9" i="5"/>
  <c r="N7" i="5"/>
  <c r="N9" i="5"/>
  <c r="N10" i="5" s="1"/>
  <c r="F7" i="5"/>
  <c r="F9" i="5"/>
  <c r="F10" i="5" s="1"/>
  <c r="B30" i="12"/>
  <c r="B31" i="12"/>
  <c r="B32" i="12"/>
  <c r="B29" i="12"/>
  <c r="B23" i="12"/>
  <c r="B24" i="12"/>
  <c r="B25" i="12"/>
  <c r="B22" i="12"/>
  <c r="B16" i="12"/>
  <c r="B17" i="12"/>
  <c r="B18" i="12"/>
  <c r="B15" i="12"/>
  <c r="B9" i="12"/>
  <c r="B10" i="12"/>
  <c r="B11" i="12"/>
  <c r="C32" i="12" s="1"/>
  <c r="D32" i="12" s="1"/>
  <c r="B8" i="12"/>
  <c r="C15" i="12" s="1"/>
  <c r="D15" i="12" s="1"/>
  <c r="J40" i="8"/>
  <c r="J39" i="8"/>
  <c r="J38" i="8"/>
  <c r="J30" i="8"/>
  <c r="J29" i="8"/>
  <c r="J28" i="8"/>
  <c r="J20" i="8"/>
  <c r="J19" i="8"/>
  <c r="J18" i="8"/>
  <c r="J10" i="8"/>
  <c r="J9" i="8"/>
  <c r="J8" i="8"/>
  <c r="C31" i="12"/>
  <c r="D31" i="12" s="1"/>
  <c r="C16" i="12"/>
  <c r="D16" i="12" s="1"/>
  <c r="C17" i="12"/>
  <c r="D17" i="12" s="1"/>
  <c r="C25" i="12"/>
  <c r="D25" i="12" s="1"/>
  <c r="C24" i="12"/>
  <c r="D24" i="12" s="1"/>
  <c r="C23" i="12"/>
  <c r="D23" i="12" s="1"/>
  <c r="V22" i="5" l="1"/>
  <c r="V23" i="5"/>
  <c r="V26" i="5"/>
  <c r="V24" i="5"/>
  <c r="V25" i="5"/>
  <c r="V21" i="5"/>
  <c r="V18" i="5"/>
  <c r="V20" i="5"/>
  <c r="V19" i="5"/>
  <c r="V10" i="5"/>
  <c r="V12" i="5" s="1"/>
  <c r="V13" i="5" s="1"/>
  <c r="W17" i="5" s="1"/>
  <c r="X17" i="5" s="1" a="1"/>
  <c r="X17" i="5" s="1"/>
  <c r="F11" i="7"/>
  <c r="F13" i="7" s="1"/>
  <c r="F14" i="7" s="1"/>
  <c r="T11" i="7"/>
  <c r="T13" i="7" s="1"/>
  <c r="T14" i="7" s="1"/>
  <c r="M11" i="7"/>
  <c r="M13" i="7" s="1"/>
  <c r="M14" i="7" s="1"/>
  <c r="N8" i="5"/>
  <c r="N17" i="5" s="1"/>
  <c r="F8" i="5"/>
  <c r="F17" i="5" s="1"/>
  <c r="C30" i="12"/>
  <c r="D30" i="12" s="1"/>
  <c r="C18" i="12"/>
  <c r="D18" i="12" s="1"/>
  <c r="C22" i="12"/>
  <c r="D22" i="12" s="1"/>
  <c r="C29" i="12"/>
  <c r="D29" i="12" s="1"/>
  <c r="Y17" i="5" l="1"/>
  <c r="Z17" i="5" s="1"/>
  <c r="W24" i="5"/>
  <c r="X24" i="5" s="1" a="1"/>
  <c r="X24" i="5" s="1"/>
  <c r="W26" i="5"/>
  <c r="X26" i="5" s="1" a="1"/>
  <c r="X26" i="5" s="1"/>
  <c r="W20" i="5"/>
  <c r="X20" i="5" s="1" a="1"/>
  <c r="X20" i="5" s="1"/>
  <c r="W18" i="5"/>
  <c r="X18" i="5" s="1" a="1"/>
  <c r="X18" i="5" s="1"/>
  <c r="Y19" i="5" s="1"/>
  <c r="Z19" i="5" s="1"/>
  <c r="W21" i="5"/>
  <c r="X21" i="5" s="1" a="1"/>
  <c r="X21" i="5" s="1"/>
  <c r="W25" i="5"/>
  <c r="X25" i="5" s="1" a="1"/>
  <c r="X25" i="5" s="1"/>
  <c r="V27" i="5"/>
  <c r="W23" i="5"/>
  <c r="X23" i="5" s="1" a="1"/>
  <c r="X23" i="5" s="1"/>
  <c r="W19" i="5"/>
  <c r="X19" i="5" s="1" a="1"/>
  <c r="X19" i="5" s="1"/>
  <c r="W22" i="5"/>
  <c r="X22" i="5" s="1" a="1"/>
  <c r="X22" i="5" s="1"/>
  <c r="N26" i="5"/>
  <c r="N21" i="5"/>
  <c r="N20" i="5"/>
  <c r="N24" i="5"/>
  <c r="N19" i="5"/>
  <c r="N23" i="5"/>
  <c r="N25" i="5"/>
  <c r="N18" i="5"/>
  <c r="N22" i="5"/>
  <c r="N12" i="5"/>
  <c r="N13" i="5" s="1"/>
  <c r="O17" i="5" s="1"/>
  <c r="P17" i="5" s="1" a="1"/>
  <c r="P17" i="5" s="1"/>
  <c r="N25" i="7"/>
  <c r="N23" i="7"/>
  <c r="F12" i="5"/>
  <c r="F13" i="5" s="1"/>
  <c r="F25" i="5"/>
  <c r="F21" i="5"/>
  <c r="F20" i="5"/>
  <c r="F26" i="5"/>
  <c r="F19" i="5"/>
  <c r="F22" i="5"/>
  <c r="F24" i="5"/>
  <c r="F18" i="5"/>
  <c r="F23" i="5"/>
  <c r="U25" i="7"/>
  <c r="U21" i="7"/>
  <c r="U18" i="7"/>
  <c r="U22" i="7"/>
  <c r="U26" i="7"/>
  <c r="U20" i="7"/>
  <c r="U23" i="7"/>
  <c r="U19" i="7"/>
  <c r="U17" i="7"/>
  <c r="U24" i="7"/>
  <c r="G20" i="7"/>
  <c r="G21" i="7"/>
  <c r="G26" i="7"/>
  <c r="G23" i="7"/>
  <c r="G25" i="7"/>
  <c r="G18" i="7"/>
  <c r="G17" i="7"/>
  <c r="G22" i="7"/>
  <c r="G19" i="7"/>
  <c r="G24" i="7"/>
  <c r="N20" i="7"/>
  <c r="N24" i="7"/>
  <c r="N17" i="7"/>
  <c r="N22" i="7"/>
  <c r="N26" i="7"/>
  <c r="N19" i="7"/>
  <c r="N18" i="7"/>
  <c r="N21" i="7"/>
  <c r="Y23" i="5" l="1"/>
  <c r="Z23" i="5" s="1"/>
  <c r="Y20" i="5"/>
  <c r="Z20" i="5" s="1"/>
  <c r="Y26" i="5"/>
  <c r="O25" i="5"/>
  <c r="P25" i="5" s="1" a="1"/>
  <c r="P25" i="5" s="1"/>
  <c r="Y18" i="5"/>
  <c r="Z18" i="5" s="1"/>
  <c r="O23" i="5"/>
  <c r="P23" i="5" s="1" a="1"/>
  <c r="P23" i="5" s="1"/>
  <c r="Y22" i="5"/>
  <c r="Z22" i="5" s="1"/>
  <c r="O19" i="5"/>
  <c r="P19" i="5" s="1" a="1"/>
  <c r="P19" i="5" s="1"/>
  <c r="Y24" i="5"/>
  <c r="Z24" i="5" s="1"/>
  <c r="Y21" i="5"/>
  <c r="Z21" i="5" s="1"/>
  <c r="O24" i="5"/>
  <c r="P24" i="5" s="1" a="1"/>
  <c r="P24" i="5" s="1"/>
  <c r="Y25" i="5"/>
  <c r="Z25" i="5" s="1"/>
  <c r="O18" i="5"/>
  <c r="P18" i="5" s="1" a="1"/>
  <c r="P18" i="5" s="1"/>
  <c r="Q18" i="5" s="1"/>
  <c r="R18" i="5" s="1"/>
  <c r="Q17" i="5"/>
  <c r="R17" i="5" s="1"/>
  <c r="O20" i="5"/>
  <c r="P20" i="5" s="1" a="1"/>
  <c r="P20" i="5" s="1"/>
  <c r="N27" i="5"/>
  <c r="O21" i="5"/>
  <c r="P21" i="5" s="1" a="1"/>
  <c r="P21" i="5" s="1"/>
  <c r="O22" i="5"/>
  <c r="P22" i="5" s="1" a="1"/>
  <c r="P22" i="5" s="1"/>
  <c r="O26" i="5"/>
  <c r="P26" i="5" s="1" a="1"/>
  <c r="P26" i="5" s="1"/>
  <c r="G26" i="5"/>
  <c r="H26" i="5" s="1" a="1"/>
  <c r="H26" i="5" s="1"/>
  <c r="R20" i="8" a="1"/>
  <c r="R20" i="8" s="1"/>
  <c r="R28" i="8" a="1"/>
  <c r="R28" i="8" s="1"/>
  <c r="R40" i="8" a="1"/>
  <c r="R40" i="8" s="1"/>
  <c r="R29" i="8" a="1"/>
  <c r="R29" i="8" s="1"/>
  <c r="G18" i="5"/>
  <c r="H18" i="5" s="1" a="1"/>
  <c r="H18" i="5" s="1"/>
  <c r="P8" i="8" a="1"/>
  <c r="P8" i="8" s="1"/>
  <c r="G19" i="5"/>
  <c r="H19" i="5" s="1" a="1"/>
  <c r="H19" i="5" s="1"/>
  <c r="G20" i="5"/>
  <c r="H20" i="5" s="1" a="1"/>
  <c r="H20" i="5" s="1"/>
  <c r="G25" i="5"/>
  <c r="H25" i="5" s="1" a="1"/>
  <c r="H25" i="5" s="1"/>
  <c r="U27" i="7"/>
  <c r="U29" i="7" s="1"/>
  <c r="O40" i="8" s="1"/>
  <c r="G23" i="5"/>
  <c r="H23" i="5" s="1" a="1"/>
  <c r="H23" i="5" s="1"/>
  <c r="P18" i="8" a="1"/>
  <c r="P18" i="8" s="1"/>
  <c r="G17" i="5"/>
  <c r="H17" i="5" s="1" a="1"/>
  <c r="H17" i="5" s="1"/>
  <c r="P40" i="8" a="1"/>
  <c r="P40" i="8" s="1"/>
  <c r="G24" i="5"/>
  <c r="H24" i="5" s="1" a="1"/>
  <c r="H24" i="5" s="1"/>
  <c r="G21" i="5"/>
  <c r="H21" i="5" s="1" a="1"/>
  <c r="H21" i="5" s="1"/>
  <c r="P19" i="8" a="1"/>
  <c r="P19" i="8" s="1"/>
  <c r="P38" i="8" a="1"/>
  <c r="P38" i="8" s="1"/>
  <c r="G22" i="5"/>
  <c r="H22" i="5" s="1" a="1"/>
  <c r="H22" i="5" s="1"/>
  <c r="R39" i="8" a="1"/>
  <c r="R39" i="8" s="1"/>
  <c r="F27" i="5"/>
  <c r="R30" i="8" a="1"/>
  <c r="R30" i="8" s="1"/>
  <c r="P29" i="8" a="1"/>
  <c r="P29" i="8" s="1"/>
  <c r="R10" i="8" a="1"/>
  <c r="R10" i="8" s="1"/>
  <c r="P39" i="8" a="1"/>
  <c r="P39" i="8" s="1"/>
  <c r="P28" i="8" a="1"/>
  <c r="P28" i="8" s="1"/>
  <c r="R38" i="8" a="1"/>
  <c r="R38" i="8" s="1"/>
  <c r="R8" i="8" a="1"/>
  <c r="R8" i="8" s="1"/>
  <c r="P20" i="8" a="1"/>
  <c r="P20" i="8" s="1"/>
  <c r="R19" i="8" a="1"/>
  <c r="R19" i="8" s="1"/>
  <c r="P30" i="8" a="1"/>
  <c r="P30" i="8" s="1"/>
  <c r="P10" i="8" a="1"/>
  <c r="P10" i="8" s="1"/>
  <c r="R9" i="8" a="1"/>
  <c r="R9" i="8" s="1"/>
  <c r="R18" i="8" a="1"/>
  <c r="R18" i="8" s="1"/>
  <c r="G27" i="7"/>
  <c r="G29" i="7" s="1"/>
  <c r="Q18" i="8" s="1"/>
  <c r="N27" i="7"/>
  <c r="N29" i="7" s="1"/>
  <c r="Q39" i="8" s="1"/>
  <c r="P9" i="8" a="1"/>
  <c r="P9" i="8" s="1"/>
  <c r="Q19" i="5" l="1"/>
  <c r="R19" i="5" s="1"/>
  <c r="Q23" i="5"/>
  <c r="R23" i="5" s="1"/>
  <c r="Z26" i="5"/>
  <c r="Z27" i="5" s="1"/>
  <c r="Z29" i="5" s="1"/>
  <c r="K10" i="8" s="1"/>
  <c r="Y27" i="5"/>
  <c r="Q21" i="5"/>
  <c r="R21" i="5" s="1"/>
  <c r="Q22" i="5"/>
  <c r="R22" i="5" s="1"/>
  <c r="Q20" i="5"/>
  <c r="R20" i="5" s="1"/>
  <c r="Q25" i="5"/>
  <c r="R25" i="5" s="1"/>
  <c r="Q26" i="5"/>
  <c r="Q24" i="5"/>
  <c r="R24" i="5" s="1"/>
  <c r="I18" i="5"/>
  <c r="J18" i="5" s="1"/>
  <c r="I26" i="5"/>
  <c r="J26" i="5" s="1"/>
  <c r="I22" i="5"/>
  <c r="J22" i="5" s="1"/>
  <c r="I23" i="5"/>
  <c r="J23" i="5" s="1"/>
  <c r="I19" i="5"/>
  <c r="J19" i="5" s="1"/>
  <c r="I17" i="5"/>
  <c r="J17" i="5" s="1"/>
  <c r="I20" i="5"/>
  <c r="J20" i="5" s="1"/>
  <c r="I24" i="5"/>
  <c r="J24" i="5" s="1"/>
  <c r="I25" i="5"/>
  <c r="J25" i="5" s="1"/>
  <c r="I21" i="5"/>
  <c r="J21" i="5" s="1"/>
  <c r="L40" i="8" a="1"/>
  <c r="L40" i="8" s="1"/>
  <c r="Q40" i="8"/>
  <c r="O18" i="8"/>
  <c r="Q9" i="8"/>
  <c r="Q29" i="8"/>
  <c r="O30" i="8"/>
  <c r="O38" i="8"/>
  <c r="O9" i="8"/>
  <c r="O29" i="8"/>
  <c r="Q20" i="8"/>
  <c r="Q19" i="8"/>
  <c r="Q28" i="8"/>
  <c r="L20" i="8" a="1"/>
  <c r="L20" i="8" s="1"/>
  <c r="O8" i="8"/>
  <c r="O19" i="8"/>
  <c r="Q38" i="8"/>
  <c r="O39" i="8"/>
  <c r="O28" i="8"/>
  <c r="O10" i="8"/>
  <c r="Q30" i="8"/>
  <c r="Q8" i="8"/>
  <c r="L10" i="8" a="1"/>
  <c r="L10" i="8" s="1"/>
  <c r="O20" i="8"/>
  <c r="Q10" i="8"/>
  <c r="L30" i="8" a="1"/>
  <c r="L30" i="8" s="1"/>
  <c r="C6" i="6"/>
  <c r="C5" i="6"/>
  <c r="C4" i="6"/>
  <c r="R26" i="5" l="1"/>
  <c r="R27" i="5" s="1"/>
  <c r="R29" i="5" s="1"/>
  <c r="K29" i="8" s="1"/>
  <c r="Q27" i="5"/>
  <c r="J27" i="5"/>
  <c r="J29" i="5" s="1"/>
  <c r="K38" i="8" s="1"/>
  <c r="I27" i="5"/>
  <c r="L38" i="8" a="1"/>
  <c r="L38" i="8" s="1"/>
  <c r="K40" i="8"/>
  <c r="K30" i="8"/>
  <c r="K20" i="8"/>
  <c r="K39" i="8"/>
  <c r="F6" i="6"/>
  <c r="F7" i="6" s="1"/>
  <c r="M6" i="6"/>
  <c r="M7" i="6" s="1"/>
  <c r="T6" i="6"/>
  <c r="T7" i="6" s="1"/>
  <c r="L19" i="8" l="1" a="1"/>
  <c r="L19" i="8" s="1"/>
  <c r="K9" i="8"/>
  <c r="L29" i="8" a="1"/>
  <c r="L29" i="8" s="1"/>
  <c r="K19" i="8"/>
  <c r="L39" i="8" a="1"/>
  <c r="L39" i="8" s="1"/>
  <c r="L9" i="8" a="1"/>
  <c r="L9" i="8" s="1"/>
  <c r="K8" i="8"/>
  <c r="K18" i="8"/>
  <c r="K28" i="8"/>
  <c r="L18" i="8" a="1"/>
  <c r="L18" i="8" s="1"/>
  <c r="L28" i="8" a="1"/>
  <c r="L28" i="8" s="1"/>
  <c r="L8" i="8" a="1"/>
  <c r="L8" i="8" s="1"/>
  <c r="M8" i="6"/>
  <c r="M9" i="6" s="1"/>
  <c r="M17" i="6" s="1"/>
  <c r="M10" i="6"/>
  <c r="M11" i="6" s="1"/>
  <c r="T8" i="6"/>
  <c r="T9" i="6" s="1"/>
  <c r="T17" i="6" s="1"/>
  <c r="T10" i="6"/>
  <c r="T11" i="6" s="1"/>
  <c r="F10" i="6"/>
  <c r="F11" i="6" s="1"/>
  <c r="F8" i="6"/>
  <c r="M25" i="6" l="1"/>
  <c r="M20" i="6"/>
  <c r="M18" i="6"/>
  <c r="M24" i="6"/>
  <c r="M22" i="6"/>
  <c r="M21" i="6"/>
  <c r="M19" i="6"/>
  <c r="M26" i="6"/>
  <c r="M23" i="6"/>
  <c r="T25" i="6"/>
  <c r="T21" i="6"/>
  <c r="T24" i="6"/>
  <c r="T23" i="6"/>
  <c r="T20" i="6"/>
  <c r="T22" i="6"/>
  <c r="T18" i="6"/>
  <c r="T26" i="6"/>
  <c r="T19" i="6"/>
  <c r="F9" i="6"/>
  <c r="T13" i="6"/>
  <c r="T14" i="6" s="1"/>
  <c r="U17" i="6" s="1"/>
  <c r="M13" i="6"/>
  <c r="M14" i="6" s="1"/>
  <c r="M27" i="6" l="1"/>
  <c r="U22" i="6"/>
  <c r="V22" i="6" s="1"/>
  <c r="N18" i="6"/>
  <c r="O18" i="6" s="1"/>
  <c r="N17" i="6"/>
  <c r="N19" i="6"/>
  <c r="O19" i="6" s="1"/>
  <c r="N20" i="6"/>
  <c r="O20" i="6" s="1"/>
  <c r="N21" i="6"/>
  <c r="O21" i="6" s="1"/>
  <c r="N22" i="6"/>
  <c r="O22" i="6" s="1"/>
  <c r="N23" i="6"/>
  <c r="O23" i="6" s="1"/>
  <c r="N24" i="6"/>
  <c r="O24" i="6" s="1"/>
  <c r="N25" i="6"/>
  <c r="O25" i="6" s="1"/>
  <c r="N26" i="6"/>
  <c r="O26" i="6" s="1"/>
  <c r="U25" i="6"/>
  <c r="V25" i="6" s="1"/>
  <c r="V17" i="6"/>
  <c r="U24" i="6"/>
  <c r="V24" i="6" s="1"/>
  <c r="U21" i="6"/>
  <c r="V21" i="6" s="1"/>
  <c r="U19" i="6"/>
  <c r="V19" i="6" s="1"/>
  <c r="U26" i="6"/>
  <c r="V26" i="6" s="1"/>
  <c r="U20" i="6"/>
  <c r="V20" i="6" s="1"/>
  <c r="U23" i="6"/>
  <c r="V23" i="6" s="1"/>
  <c r="T27" i="6"/>
  <c r="U18" i="6"/>
  <c r="V18" i="6" s="1"/>
  <c r="F17" i="6"/>
  <c r="F13" i="6"/>
  <c r="F14" i="6" s="1"/>
  <c r="O17" i="6" l="1"/>
  <c r="O27" i="6" s="1"/>
  <c r="O29" i="6" s="1"/>
  <c r="N27" i="6"/>
  <c r="U27" i="6"/>
  <c r="V27" i="6"/>
  <c r="V29" i="6" s="1"/>
  <c r="G17" i="6"/>
  <c r="H17" i="6" s="1"/>
  <c r="F26" i="6"/>
  <c r="G26" i="6" s="1"/>
  <c r="H26" i="6" s="1"/>
  <c r="F25" i="6"/>
  <c r="G25" i="6" s="1"/>
  <c r="H25" i="6" s="1"/>
  <c r="F24" i="6"/>
  <c r="G24" i="6" s="1"/>
  <c r="H24" i="6" s="1"/>
  <c r="F18" i="6"/>
  <c r="G18" i="6" s="1"/>
  <c r="H18" i="6" s="1"/>
  <c r="F23" i="6"/>
  <c r="G23" i="6" s="1"/>
  <c r="H23" i="6" s="1"/>
  <c r="F21" i="6"/>
  <c r="G21" i="6" s="1"/>
  <c r="H21" i="6" s="1"/>
  <c r="F20" i="6"/>
  <c r="G20" i="6" s="1"/>
  <c r="H20" i="6" s="1"/>
  <c r="F19" i="6"/>
  <c r="F22" i="6"/>
  <c r="G22" i="6" s="1"/>
  <c r="H22" i="6" s="1"/>
  <c r="G19" i="6"/>
  <c r="H19" i="6" s="1"/>
  <c r="N39" i="8" a="1"/>
  <c r="N39" i="8" s="1"/>
  <c r="N40" i="8" a="1"/>
  <c r="N40" i="8" s="1"/>
  <c r="N29" i="8" a="1"/>
  <c r="N29" i="8" s="1"/>
  <c r="N19" i="8" a="1"/>
  <c r="N19" i="8" s="1"/>
  <c r="N9" i="8" a="1"/>
  <c r="N9" i="8" s="1"/>
  <c r="N30" i="8" a="1"/>
  <c r="N30" i="8" s="1"/>
  <c r="N20" i="8" a="1"/>
  <c r="N20" i="8" s="1"/>
  <c r="N10" i="8" a="1"/>
  <c r="N10" i="8" s="1"/>
  <c r="F27" i="6" l="1"/>
  <c r="H27" i="6"/>
  <c r="H29" i="6" s="1"/>
  <c r="M28" i="8" s="1"/>
  <c r="N38" i="8" a="1"/>
  <c r="N38" i="8" s="1"/>
  <c r="G27" i="6"/>
  <c r="M8" i="8" s="1"/>
  <c r="N28" i="8" a="1"/>
  <c r="N28" i="8" s="1"/>
  <c r="N18" i="8" a="1"/>
  <c r="N18" i="8" s="1"/>
  <c r="N8" i="8" a="1"/>
  <c r="N8" i="8" s="1"/>
  <c r="M39" i="8"/>
  <c r="M9" i="8"/>
  <c r="M29" i="8"/>
  <c r="M19" i="8"/>
  <c r="M30" i="8"/>
  <c r="M10" i="8"/>
  <c r="M20" i="8"/>
  <c r="M40" i="8"/>
  <c r="M38" i="8" l="1"/>
  <c r="M1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<sst xmlns="http://schemas.openxmlformats.org/spreadsheetml/2006/main" count="400" uniqueCount="118">
  <si>
    <t>LET OP: ALLEEN WAARDEN VAN</t>
  </si>
  <si>
    <t>BLAUWE VAKKEN</t>
  </si>
  <si>
    <t>AANPASSEN!</t>
  </si>
  <si>
    <t>Scenario 1</t>
  </si>
  <si>
    <t>Scenario 2</t>
  </si>
  <si>
    <t>Scenario 3</t>
  </si>
  <si>
    <t>Investering</t>
  </si>
  <si>
    <t>investering</t>
  </si>
  <si>
    <t>Energiebesparing</t>
  </si>
  <si>
    <t>Nettostijging maandelijkse lasten</t>
  </si>
  <si>
    <t>VvE-bijdrage door de VvE-ledenlening Warmtefonds</t>
  </si>
  <si>
    <t>jaar 1</t>
  </si>
  <si>
    <t>jaar 2</t>
  </si>
  <si>
    <t>jaar 3</t>
  </si>
  <si>
    <t>jaar 4</t>
  </si>
  <si>
    <t>jaar 5</t>
  </si>
  <si>
    <t>jaar 6</t>
  </si>
  <si>
    <t>jaar 7</t>
  </si>
  <si>
    <t>jaar 8</t>
  </si>
  <si>
    <t>jaar 9</t>
  </si>
  <si>
    <t>jaar 10</t>
  </si>
  <si>
    <t>Totaal</t>
  </si>
  <si>
    <t>Lening</t>
  </si>
  <si>
    <t xml:space="preserve">Subsidie </t>
  </si>
  <si>
    <t>Subsidie 1</t>
  </si>
  <si>
    <t>Subsidie 2</t>
  </si>
  <si>
    <t>Subsidie 3</t>
  </si>
  <si>
    <t>Vangnet (max)</t>
  </si>
  <si>
    <t>Restant maandelijkse verhoging na ledenlening</t>
  </si>
  <si>
    <t>Verhoging voor de bewoner (p/mnd)</t>
  </si>
  <si>
    <t>Restant na eenmalige subsidies</t>
  </si>
  <si>
    <t>Eenmalige subsidies</t>
  </si>
  <si>
    <t>Verhoging maandelijkse bijdrage</t>
  </si>
  <si>
    <t>VARIABELEN</t>
  </si>
  <si>
    <t>SCENARIO'S</t>
  </si>
  <si>
    <t>UITKOMSTEN</t>
  </si>
  <si>
    <t>Kosten</t>
  </si>
  <si>
    <t>150 % bijstandsnorm</t>
  </si>
  <si>
    <t>150 % bijstandsnorm alleenstaande</t>
  </si>
  <si>
    <t>150 % bijstandsnorm stel</t>
  </si>
  <si>
    <t>150 % sociaal minimum AOW alleenstaande</t>
  </si>
  <si>
    <t>150 % sociaal minimum AOW stel</t>
  </si>
  <si>
    <t>175 % bijstandsnorm</t>
  </si>
  <si>
    <t>175 % bijstandsnorm alleenstaande</t>
  </si>
  <si>
    <t>175 % bijstandsnorm stel</t>
  </si>
  <si>
    <t>175 % sociaal minimum AOW alleenstaande</t>
  </si>
  <si>
    <t>175 % sociaal minimum AOW stel</t>
  </si>
  <si>
    <t>200 % bijstandsnorm</t>
  </si>
  <si>
    <t>200 % bijstandsnorm alleenstaande</t>
  </si>
  <si>
    <t>200 % bijstandsnorm stel</t>
  </si>
  <si>
    <t>200 % sociaal minimum AOW alleenstaande</t>
  </si>
  <si>
    <t>200 % sociaal minimum AOW stel</t>
  </si>
  <si>
    <t>-</t>
  </si>
  <si>
    <t>Draagkracht</t>
  </si>
  <si>
    <t>Lastenverhoging</t>
  </si>
  <si>
    <t>LASTENVERHOGING ALLEENSTAANDE</t>
  </si>
  <si>
    <t>LASTENVERHOGING STEL</t>
  </si>
  <si>
    <t>LASTENVERHOGING AOW ALLEENSTAAND</t>
  </si>
  <si>
    <t>LASTENVERHOGING AOW STEL</t>
  </si>
  <si>
    <t>NB: LASTENVERHOGING GEDURENDE TIEN JAAR</t>
  </si>
  <si>
    <t>BIJSTANDSNORM</t>
  </si>
  <si>
    <t>125 % bijstandsnorm alleenstaande</t>
  </si>
  <si>
    <t>125 % bijstandsnorm stel</t>
  </si>
  <si>
    <t>125 % sociaal minimum AOW alleenstaande</t>
  </si>
  <si>
    <t>125 % sociaal minimum AOW stel</t>
  </si>
  <si>
    <t>Ledenlening (150% BN)</t>
  </si>
  <si>
    <t>175% BN</t>
  </si>
  <si>
    <t>Alleenstaand</t>
  </si>
  <si>
    <t>Stel</t>
  </si>
  <si>
    <t>AOW Alleenstaand</t>
  </si>
  <si>
    <t>AOW Stel</t>
  </si>
  <si>
    <t>125 % bijstandsnorm</t>
  </si>
  <si>
    <t>Bedrag</t>
  </si>
  <si>
    <t>Verschil</t>
  </si>
  <si>
    <t>Aandeel NWF</t>
  </si>
  <si>
    <t>Rente NWF</t>
  </si>
  <si>
    <t>Aandeel SVn</t>
  </si>
  <si>
    <t>Rente Svn</t>
  </si>
  <si>
    <t>Opbouw lening</t>
  </si>
  <si>
    <t>Maandelijkse betaling NWF</t>
  </si>
  <si>
    <t>Maandelijkse betaling SVn</t>
  </si>
  <si>
    <t>Looptijd lening NWF</t>
  </si>
  <si>
    <t>Looptijd lening SVn</t>
  </si>
  <si>
    <t>200% BN</t>
  </si>
  <si>
    <t xml:space="preserve">Maandelijkse verhoging </t>
  </si>
  <si>
    <t>Maandelijkse verhoging</t>
  </si>
  <si>
    <t xml:space="preserve">Stadspas + Ledenlening (125% BN) </t>
  </si>
  <si>
    <t>Bereik vangnet</t>
  </si>
  <si>
    <t>Subsidie 2 (SVVE)</t>
  </si>
  <si>
    <t>Subsidie 3 (VHF)</t>
  </si>
  <si>
    <t>Subsidie 1 (gemeente)</t>
  </si>
  <si>
    <t xml:space="preserve">Hoe het werkt </t>
  </si>
  <si>
    <t xml:space="preserve">In het 'Hoofdblad' kunnen in de blauwe vakken de variabelen worden ingevuld. Het gaat dan om de subsidies, de financiering, investeringen en verwachte energiebesparing. In de tabellen aan de rechterzijde van het Hoofdblad </t>
  </si>
  <si>
    <t xml:space="preserve">lastenstijging en of de draagkracht voldoende is om deze stijging op te vangen staat weergegeven in het 'Hoofdblad' </t>
  </si>
  <si>
    <t>van andere subsidies omdat deze (i) alleen van toepassing is op de groep tot 125% van de bijstandsnorm en (ii) het vangnet compenseert voor de lastenverhoging tot de subsidie op is, en dus niet altijd volledig wordt toegekend.</t>
  </si>
  <si>
    <t xml:space="preserve">In het tabblad 'Draagkrachtberekening' staat voor verschillende inkomensniveaus weergegeven wat de veronderstelde draagkracht is. In dit document is uitgegaan van de draagkrachtregels van de gemeente Utrecht. Het </t>
  </si>
  <si>
    <t xml:space="preserve">is uiteraard mogelijk om deze aan te passen. </t>
  </si>
  <si>
    <t>Disclaimer</t>
  </si>
  <si>
    <t>Ook helpt de tool om in kaart te brengen wat de effecten van aanvullende subsidies en regelingen, andere financieringsvoorwaarden, vangnet-regelingen en verschillende investeringsscenario's zijn op de bestaanszekerheid.</t>
  </si>
  <si>
    <t xml:space="preserve">wordt dan duidelijk wat deze input betekent voor de verschillende inkomensniveaus. Vul alleen de blauwe vakken in! De andere cellen bevatten berekeningen. </t>
  </si>
  <si>
    <t>In de tabbladen achter 'LASTEN' zijn de berekeningen zichtbaar voor de groepen die (i) een vangnet en de NWF-ledenlening, (ii) alleen de NWF-ledenlening of (iii) geen aanvullende regelingen genieten. Het vangnet verschilt</t>
  </si>
  <si>
    <t>Totale uitgaven vangnet (gemaximeerd)</t>
  </si>
  <si>
    <t>Uitgave vangnet per jaar (zonder totale max)</t>
  </si>
  <si>
    <t xml:space="preserve">Deze tool is gemaakt door IPW-Klimaatwerk, en tot stand gekomen in het VvE-vangnet-actieonderzoek dat is gesubsidieerd door het Ministerie van Volkshuisvesting en Ruimtelijke Ordening. </t>
  </si>
  <si>
    <t>Restant maandelijkse verhoging na ledenlening (excl. Negatieve getallen)</t>
  </si>
  <si>
    <t xml:space="preserve">Ook is nog niet mogelijk om de ledenlening als het ware 'uit te zetten' voor kleine VvE's, die niet van deze regeling gebruik kunnen maken. </t>
  </si>
  <si>
    <t>De toename van lasten als gevolg van onderhoud en verduurzaming wordt berekend voor een periode van tien jaar, en vergeleken met de (veronderstelde) draagkracht van huishoudens met verschillende inkomensniveaus. Het overzicht van de</t>
  </si>
  <si>
    <t xml:space="preserve">In deze tool wordt berekend wat verschillende verduurzamingssenario's voor VvE's en nationale en lokale subsidies betekenen voor huishoudens met verschillende inkomensniveaus in die VvE's. </t>
  </si>
  <si>
    <t xml:space="preserve">Waar deze tool voor is </t>
  </si>
  <si>
    <t>Waar deze tool niet voor is</t>
  </si>
  <si>
    <t xml:space="preserve">Het is een beleidsinstrument om in te schatten welke inkomensgroepen in de financiële problemen kunnen komen in de VvE-verduurzaming, en hoe groot die problemen grofweg zijn. </t>
  </si>
  <si>
    <t xml:space="preserve">De tool niet is bedoeld om individuele casuïstiek mee te beoordelen! Daarvoor is een veel vollediger beeld van de persoonlijke en financiële situatie nodig. </t>
  </si>
  <si>
    <t>De tool is nog in ontwikkeling en kan fouten bevatten. Dit is geen definitieve versie.</t>
  </si>
  <si>
    <t xml:space="preserve">Zo lopen de berekeningen per jaar, niet per maand. Dat levert kleine discrepanties op t.o.v. de werkelijke situatie. </t>
  </si>
  <si>
    <t xml:space="preserve">Bij hoge investeringsscenario's waarin in het eerste jaar het maximumbedrag van het vangnet al wordt bereikt, wordt het vangnetbedrag vooralsnog niet in mindering gebracht op de totale lastenverhoging van het huishouden. </t>
  </si>
  <si>
    <t xml:space="preserve">Zie je iets dat niet klopt? Of heb je feedback, tips of vragen? Mail dan naar mees@klimaatwerk.nu; daarmee kunnen we de tool doorontwikkelen! </t>
  </si>
  <si>
    <t>Vanwege de methodiek en scoping van deze tool is een aantal kleine afwijkingen (vooralsnog) voor lief genomen:</t>
  </si>
  <si>
    <t>BELANGRIJKE INFORMATIE OVER DEZE TOOL (BETA-VERSIE, NOV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</si>
</sst>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_(&quot;€&quot;\ * \(#,##0.00\);_(&quot;€&quot;\ * &quot;-&quot;??_);_(@_)"/>
    <numFmt numFmtId="164" formatCode="_ &quot;€&quot;\ * #,##0.00_ ;_ &quot;€&quot;\ * \-#,##0.00_ ;_ &quot;€&quot;\ * &quot;-&quot;??_ ;_ @_ "/>
    <numFmt numFmtId="165" formatCode="&quot;€&quot;\ #,##0.00"/>
    <numFmt numFmtId="166" formatCode="&quot;€&quot;\ #,##0"/>
    <numFmt numFmtId="167" formatCode="0.0%"/>
  </numFmts>
  <fonts count="23" x14ac:knownFonts="1">
    <font>
      <sz val="11"/>
      <color theme="1"/>
      <name val="Aptos Narrow"/>
      <family val="2"/>
      <scheme val="minor"/>
    </font>
    <font>
      <b/>
      <sz val="11"/>
      <color theme="1"/>
      <name val="Aptos Narrow"/>
      <family val="2"/>
      <scheme val="minor"/>
    </font>
    <font>
      <b/>
      <sz val="18"/>
      <color theme="1"/>
      <name val="Aptos Narrow"/>
      <family val="2"/>
      <scheme val="minor"/>
    </font>
    <font>
      <b/>
      <sz val="18"/>
      <color rgb="FFFF0000"/>
      <name val="Aptos Narrow"/>
      <family val="2"/>
      <scheme val="minor"/>
    </font>
    <font>
      <sz val="11"/>
      <color theme="1"/>
      <name val="Aptos Narrow"/>
      <family val="2"/>
      <scheme val="minor"/>
    </font>
    <font>
      <b/>
      <sz val="11"/>
      <color theme="1"/>
      <name val="Aptos Narrow"/>
      <scheme val="minor"/>
    </font>
    <font>
      <sz val="11"/>
      <color theme="1"/>
      <name val="Aptos Narrow"/>
      <scheme val="minor"/>
    </font>
    <font>
      <i/>
      <sz val="11"/>
      <color theme="1"/>
      <name val="Aptos Narrow"/>
      <scheme val="minor"/>
    </font>
    <font>
      <b/>
      <sz val="18"/>
      <color theme="1"/>
      <name val="Aptos Narrow"/>
      <scheme val="minor"/>
    </font>
    <font>
      <b/>
      <sz val="14"/>
      <color theme="1"/>
      <name val="Aptos Narrow"/>
      <scheme val="minor"/>
    </font>
    <font>
      <u/>
      <sz val="11"/>
      <color theme="10"/>
      <name val="Aptos Narrow"/>
      <family val="2"/>
      <scheme val="minor"/>
    </font>
    <font>
      <sz val="12"/>
      <color theme="1"/>
      <name val="Aptos Narrow"/>
      <scheme val="minor"/>
    </font>
    <font>
      <b/>
      <sz val="12"/>
      <color theme="1"/>
      <name val="Aptos Narrow"/>
      <scheme val="minor"/>
    </font>
    <font>
      <sz val="9"/>
      <color theme="1"/>
      <name val="Aptos Narrow"/>
      <scheme val="minor"/>
    </font>
    <font>
      <sz val="10"/>
      <color theme="1"/>
      <name val="Aptos Narrow"/>
      <scheme val="minor"/>
    </font>
    <font>
      <sz val="11"/>
      <color rgb="FF333333"/>
      <name val="Aptos Narrow"/>
      <scheme val="minor"/>
    </font>
    <font>
      <b/>
      <sz val="10"/>
      <color theme="1"/>
      <name val="Aptos Narrow (Hoofdtekst)"/>
    </font>
    <font>
      <b/>
      <sz val="10"/>
      <color theme="1"/>
      <name val="Aptos Narrow"/>
      <scheme val="minor"/>
    </font>
    <font>
      <b/>
      <sz val="16"/>
      <color theme="1"/>
      <name val="Aptos Narrow"/>
      <scheme val="minor"/>
    </font>
    <font>
      <sz val="14"/>
      <color theme="1"/>
      <name val="Aptos Narrow"/>
      <scheme val="minor"/>
    </font>
    <font>
      <i/>
      <sz val="14"/>
      <color theme="1"/>
      <name val="Aptos Narrow"/>
      <scheme val="minor"/>
    </font>
    <font>
      <sz val="14"/>
      <color theme="1"/>
      <name val="Aptos Narrow"/>
      <family val="2"/>
      <scheme val="minor"/>
    </font>
    <font>
      <b/>
      <sz val="22"/>
      <color theme="1"/>
      <name val="Aptos Narrow"/>
      <scheme val="minor"/>
    </font>
  </fonts>
  <fills count="10">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94DDF8"/>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23">
    <border>
      <left/>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s>
  <cellStyleXfs count="4">
    <xf numFmtId="0" fontId="0" fillId="0" borderId="0"/>
    <xf numFmtId="44" fontId="4" fillId="0" borderId="0" applyFont="0" applyFill="0" applyBorder="0" applyAlignment="0" applyProtection="0"/>
    <xf numFmtId="9" fontId="4" fillId="0" borderId="0" applyFont="0" applyFill="0" applyBorder="0" applyAlignment="0" applyProtection="0"/>
    <xf numFmtId="0" fontId="10" fillId="0" borderId="0" applyNumberFormat="0" applyFill="0" applyBorder="0" applyAlignment="0" applyProtection="0"/>
  </cellStyleXfs>
  <cellXfs count="151">
    <xf numFmtId="0" fontId="0" fillId="0" borderId="0" xfId="0"/>
    <xf numFmtId="0" fontId="1" fillId="0" borderId="0" xfId="0" applyFont="1"/>
    <xf numFmtId="165" fontId="1" fillId="0" borderId="0" xfId="0" applyNumberFormat="1" applyFont="1"/>
    <xf numFmtId="165" fontId="0" fillId="0" borderId="0" xfId="0" applyNumberFormat="1"/>
    <xf numFmtId="0" fontId="0" fillId="0" borderId="0" xfId="0" applyAlignment="1">
      <alignment wrapText="1"/>
    </xf>
    <xf numFmtId="165" fontId="0" fillId="0" borderId="0" xfId="0" applyNumberFormat="1" applyAlignment="1">
      <alignment vertical="top" wrapText="1"/>
    </xf>
    <xf numFmtId="0" fontId="0" fillId="0" borderId="0" xfId="0" applyAlignment="1">
      <alignment vertical="top" wrapText="1"/>
    </xf>
    <xf numFmtId="165" fontId="2" fillId="0" borderId="0" xfId="0" applyNumberFormat="1" applyFont="1"/>
    <xf numFmtId="0" fontId="3" fillId="0" borderId="0" xfId="0" applyFont="1"/>
    <xf numFmtId="0" fontId="5" fillId="0" borderId="0" xfId="0" applyFont="1"/>
    <xf numFmtId="165" fontId="6" fillId="0" borderId="0" xfId="0" applyNumberFormat="1" applyFont="1"/>
    <xf numFmtId="0" fontId="6" fillId="0" borderId="0" xfId="0" applyFont="1"/>
    <xf numFmtId="165" fontId="5" fillId="0" borderId="0" xfId="0" applyNumberFormat="1" applyFont="1"/>
    <xf numFmtId="165" fontId="7" fillId="0" borderId="0" xfId="0" applyNumberFormat="1" applyFont="1"/>
    <xf numFmtId="1" fontId="7" fillId="0" borderId="0" xfId="0" applyNumberFormat="1" applyFont="1"/>
    <xf numFmtId="0" fontId="0" fillId="3" borderId="1" xfId="0" applyFill="1" applyBorder="1"/>
    <xf numFmtId="0" fontId="0" fillId="3" borderId="2" xfId="0" applyFill="1" applyBorder="1"/>
    <xf numFmtId="164" fontId="7" fillId="0" borderId="3" xfId="0" applyNumberFormat="1" applyFont="1" applyBorder="1"/>
    <xf numFmtId="0" fontId="5" fillId="3" borderId="3" xfId="0" applyFont="1" applyFill="1" applyBorder="1"/>
    <xf numFmtId="0" fontId="0" fillId="3" borderId="4" xfId="0" applyFill="1" applyBorder="1"/>
    <xf numFmtId="166" fontId="0" fillId="0" borderId="0" xfId="0" applyNumberFormat="1" applyAlignment="1">
      <alignment vertical="center" wrapText="1"/>
    </xf>
    <xf numFmtId="166" fontId="0" fillId="0" borderId="0" xfId="0" applyNumberFormat="1" applyAlignment="1">
      <alignment horizontal="right" vertical="center" wrapText="1"/>
    </xf>
    <xf numFmtId="166" fontId="0" fillId="0" borderId="0" xfId="0" applyNumberFormat="1"/>
    <xf numFmtId="166" fontId="1" fillId="0" borderId="0" xfId="0" applyNumberFormat="1" applyFont="1"/>
    <xf numFmtId="164" fontId="7" fillId="0" borderId="0" xfId="0" applyNumberFormat="1" applyFont="1"/>
    <xf numFmtId="0" fontId="8" fillId="0" borderId="5" xfId="0" applyFont="1" applyBorder="1" applyAlignment="1">
      <alignment horizontal="center" vertical="center" wrapText="1"/>
    </xf>
    <xf numFmtId="0" fontId="8" fillId="4" borderId="6" xfId="0" applyFont="1" applyFill="1" applyBorder="1" applyAlignment="1">
      <alignment horizontal="center" vertical="center"/>
    </xf>
    <xf numFmtId="0" fontId="8" fillId="0" borderId="7" xfId="0" applyFont="1" applyBorder="1" applyAlignment="1">
      <alignment horizontal="center" vertical="center"/>
    </xf>
    <xf numFmtId="165" fontId="7" fillId="0" borderId="0" xfId="0" applyNumberFormat="1" applyFont="1" applyAlignment="1">
      <alignment wrapText="1"/>
    </xf>
    <xf numFmtId="10" fontId="0" fillId="0" borderId="0" xfId="2" applyNumberFormat="1" applyFont="1" applyFill="1" applyBorder="1" applyAlignment="1">
      <alignment horizontal="left"/>
    </xf>
    <xf numFmtId="0" fontId="0" fillId="0" borderId="0" xfId="0" applyAlignment="1">
      <alignment horizontal="left"/>
    </xf>
    <xf numFmtId="44" fontId="0" fillId="0" borderId="0" xfId="1" applyFont="1" applyFill="1" applyBorder="1" applyAlignment="1">
      <alignment horizontal="left"/>
    </xf>
    <xf numFmtId="44" fontId="0" fillId="0" borderId="0" xfId="1" applyFont="1" applyFill="1" applyBorder="1"/>
    <xf numFmtId="0" fontId="0" fillId="3" borderId="3" xfId="0" applyFill="1" applyBorder="1"/>
    <xf numFmtId="166" fontId="1" fillId="0" borderId="0" xfId="0" applyNumberFormat="1" applyFont="1" applyAlignment="1">
      <alignment horizontal="right"/>
    </xf>
    <xf numFmtId="165" fontId="0" fillId="0" borderId="11" xfId="0" applyNumberFormat="1" applyBorder="1" applyAlignment="1">
      <alignment vertical="top" wrapText="1"/>
    </xf>
    <xf numFmtId="0" fontId="0" fillId="0" borderId="12" xfId="0" applyBorder="1" applyAlignment="1">
      <alignment vertical="top" wrapText="1"/>
    </xf>
    <xf numFmtId="0" fontId="0" fillId="3" borderId="9" xfId="0" applyFill="1" applyBorder="1" applyAlignment="1">
      <alignment vertical="top" wrapText="1"/>
    </xf>
    <xf numFmtId="0" fontId="0" fillId="0" borderId="0" xfId="0" applyAlignment="1">
      <alignment horizontal="center"/>
    </xf>
    <xf numFmtId="44" fontId="0" fillId="0" borderId="0" xfId="1" applyFont="1"/>
    <xf numFmtId="166" fontId="0" fillId="0" borderId="0" xfId="0" applyNumberFormat="1" applyAlignment="1">
      <alignment horizontal="right" vertical="center"/>
    </xf>
    <xf numFmtId="166" fontId="6" fillId="0" borderId="0" xfId="0" applyNumberFormat="1" applyFont="1" applyAlignment="1">
      <alignment horizontal="right" vertical="center"/>
    </xf>
    <xf numFmtId="166" fontId="6" fillId="0" borderId="0" xfId="0" applyNumberFormat="1" applyFont="1" applyAlignment="1">
      <alignment vertical="center"/>
    </xf>
    <xf numFmtId="166" fontId="0" fillId="3" borderId="10" xfId="0" applyNumberFormat="1" applyFill="1" applyBorder="1"/>
    <xf numFmtId="166" fontId="5" fillId="0" borderId="0" xfId="0" applyNumberFormat="1" applyFont="1"/>
    <xf numFmtId="166" fontId="0" fillId="0" borderId="4" xfId="0" applyNumberFormat="1" applyBorder="1"/>
    <xf numFmtId="166" fontId="0" fillId="4" borderId="5" xfId="1" applyNumberFormat="1" applyFont="1" applyFill="1" applyBorder="1" applyAlignment="1">
      <alignment horizontal="left"/>
    </xf>
    <xf numFmtId="166" fontId="0" fillId="4" borderId="6" xfId="1" applyNumberFormat="1" applyFont="1" applyFill="1" applyBorder="1" applyAlignment="1">
      <alignment horizontal="left"/>
    </xf>
    <xf numFmtId="166" fontId="0" fillId="4" borderId="7" xfId="1" applyNumberFormat="1" applyFont="1" applyFill="1" applyBorder="1" applyAlignment="1">
      <alignment horizontal="left"/>
    </xf>
    <xf numFmtId="166" fontId="0" fillId="4" borderId="8" xfId="1" applyNumberFormat="1" applyFont="1" applyFill="1" applyBorder="1" applyAlignment="1">
      <alignment horizontal="left"/>
    </xf>
    <xf numFmtId="9" fontId="0" fillId="0" borderId="0" xfId="2" applyFont="1" applyAlignment="1">
      <alignment horizontal="center"/>
    </xf>
    <xf numFmtId="0" fontId="7" fillId="0" borderId="0" xfId="0" applyFont="1" applyAlignment="1">
      <alignment horizontal="center"/>
    </xf>
    <xf numFmtId="166" fontId="0" fillId="0" borderId="0" xfId="1" applyNumberFormat="1" applyFont="1"/>
    <xf numFmtId="166" fontId="0" fillId="0" borderId="0" xfId="1" applyNumberFormat="1" applyFont="1" applyFill="1" applyBorder="1" applyAlignment="1">
      <alignment horizontal="left"/>
    </xf>
    <xf numFmtId="0" fontId="6" fillId="3" borderId="5" xfId="0" applyFont="1" applyFill="1" applyBorder="1"/>
    <xf numFmtId="0" fontId="6" fillId="3" borderId="6" xfId="0" applyFont="1" applyFill="1" applyBorder="1"/>
    <xf numFmtId="0" fontId="6" fillId="3" borderId="7" xfId="0" applyFont="1" applyFill="1" applyBorder="1"/>
    <xf numFmtId="0" fontId="9" fillId="0" borderId="0" xfId="0" applyFont="1"/>
    <xf numFmtId="166" fontId="0" fillId="0" borderId="0" xfId="1" applyNumberFormat="1" applyFont="1" applyFill="1" applyAlignment="1">
      <alignment horizontal="right" vertical="center" wrapText="1"/>
    </xf>
    <xf numFmtId="166" fontId="0" fillId="0" borderId="0" xfId="1" applyNumberFormat="1" applyFont="1" applyFill="1" applyAlignment="1">
      <alignment horizontal="right" vertical="center"/>
    </xf>
    <xf numFmtId="166" fontId="0" fillId="0" borderId="0" xfId="1" applyNumberFormat="1" applyFont="1" applyFill="1" applyAlignment="1">
      <alignment vertical="center"/>
    </xf>
    <xf numFmtId="166" fontId="0" fillId="6" borderId="15" xfId="0" applyNumberFormat="1" applyFill="1" applyBorder="1" applyAlignment="1">
      <alignment horizontal="left"/>
    </xf>
    <xf numFmtId="166" fontId="0" fillId="6" borderId="5" xfId="0" applyNumberFormat="1" applyFill="1" applyBorder="1" applyAlignment="1">
      <alignment horizontal="left"/>
    </xf>
    <xf numFmtId="166" fontId="0" fillId="4" borderId="16" xfId="2" applyNumberFormat="1" applyFont="1" applyFill="1" applyBorder="1" applyAlignment="1">
      <alignment horizontal="left"/>
    </xf>
    <xf numFmtId="166" fontId="0" fillId="4" borderId="6" xfId="2" applyNumberFormat="1" applyFont="1" applyFill="1" applyBorder="1" applyAlignment="1">
      <alignment horizontal="left"/>
    </xf>
    <xf numFmtId="166" fontId="0" fillId="4" borderId="17" xfId="0" applyNumberFormat="1" applyFill="1" applyBorder="1" applyAlignment="1">
      <alignment horizontal="left"/>
    </xf>
    <xf numFmtId="166" fontId="0" fillId="4" borderId="7" xfId="0" applyNumberFormat="1" applyFill="1" applyBorder="1" applyAlignment="1">
      <alignment horizontal="left"/>
    </xf>
    <xf numFmtId="0" fontId="5" fillId="3" borderId="4" xfId="0" applyFont="1" applyFill="1" applyBorder="1"/>
    <xf numFmtId="165" fontId="0" fillId="0" borderId="0" xfId="1" applyNumberFormat="1" applyFont="1"/>
    <xf numFmtId="0" fontId="5" fillId="3" borderId="8" xfId="0" applyFont="1" applyFill="1" applyBorder="1"/>
    <xf numFmtId="166" fontId="0" fillId="0" borderId="20" xfId="0" applyNumberFormat="1" applyBorder="1"/>
    <xf numFmtId="166" fontId="0" fillId="0" borderId="21" xfId="0" applyNumberFormat="1" applyBorder="1"/>
    <xf numFmtId="0" fontId="0" fillId="0" borderId="0" xfId="0" applyAlignment="1">
      <alignment horizontal="center" vertical="center"/>
    </xf>
    <xf numFmtId="166" fontId="0" fillId="0" borderId="19" xfId="0" applyNumberFormat="1" applyBorder="1"/>
    <xf numFmtId="9" fontId="0" fillId="0" borderId="17" xfId="2" applyFont="1" applyBorder="1" applyAlignment="1">
      <alignment horizontal="center"/>
    </xf>
    <xf numFmtId="166" fontId="6" fillId="0" borderId="16" xfId="0" applyNumberFormat="1" applyFont="1" applyBorder="1" applyAlignment="1">
      <alignment horizontal="center"/>
    </xf>
    <xf numFmtId="166" fontId="6" fillId="0" borderId="17" xfId="0" applyNumberFormat="1" applyFont="1" applyBorder="1" applyAlignment="1">
      <alignment horizontal="center"/>
    </xf>
    <xf numFmtId="0" fontId="0" fillId="0" borderId="22" xfId="0" applyBorder="1" applyAlignment="1">
      <alignment vertical="top" wrapText="1"/>
    </xf>
    <xf numFmtId="0" fontId="11" fillId="0" borderId="0" xfId="0" applyFont="1"/>
    <xf numFmtId="0" fontId="12" fillId="0" borderId="0" xfId="0" applyFont="1"/>
    <xf numFmtId="49" fontId="12" fillId="0" borderId="0" xfId="0" applyNumberFormat="1" applyFont="1" applyAlignment="1">
      <alignment wrapText="1"/>
    </xf>
    <xf numFmtId="9" fontId="11" fillId="0" borderId="0" xfId="0" applyNumberFormat="1" applyFont="1"/>
    <xf numFmtId="10" fontId="11" fillId="0" borderId="0" xfId="0" applyNumberFormat="1" applyFont="1"/>
    <xf numFmtId="0" fontId="13" fillId="0" borderId="0" xfId="0" applyFont="1"/>
    <xf numFmtId="0" fontId="10" fillId="0" borderId="0" xfId="3"/>
    <xf numFmtId="166" fontId="6" fillId="0" borderId="1" xfId="0" applyNumberFormat="1" applyFont="1" applyBorder="1" applyAlignment="1">
      <alignment horizontal="center"/>
    </xf>
    <xf numFmtId="166" fontId="6" fillId="0" borderId="2" xfId="0" applyNumberFormat="1" applyFont="1" applyBorder="1" applyAlignment="1">
      <alignment horizontal="center"/>
    </xf>
    <xf numFmtId="0" fontId="6" fillId="7" borderId="1" xfId="0" applyFont="1" applyFill="1" applyBorder="1" applyAlignment="1">
      <alignment horizontal="center"/>
    </xf>
    <xf numFmtId="0" fontId="6" fillId="7" borderId="2" xfId="0" applyFont="1" applyFill="1" applyBorder="1" applyAlignment="1">
      <alignment horizontal="center"/>
    </xf>
    <xf numFmtId="166" fontId="6" fillId="0" borderId="13" xfId="0" applyNumberFormat="1" applyFont="1" applyBorder="1" applyAlignment="1">
      <alignment horizontal="center"/>
    </xf>
    <xf numFmtId="166" fontId="6" fillId="0" borderId="15" xfId="0" applyNumberFormat="1" applyFont="1" applyBorder="1" applyAlignment="1">
      <alignment horizontal="center"/>
    </xf>
    <xf numFmtId="0" fontId="14" fillId="0" borderId="0" xfId="0" applyFont="1"/>
    <xf numFmtId="165" fontId="15" fillId="0" borderId="0" xfId="0" applyNumberFormat="1" applyFont="1"/>
    <xf numFmtId="9" fontId="6" fillId="0" borderId="0" xfId="0" applyNumberFormat="1" applyFont="1"/>
    <xf numFmtId="0" fontId="16" fillId="0" borderId="0" xfId="0" applyFont="1"/>
    <xf numFmtId="0" fontId="0" fillId="3" borderId="5" xfId="0" applyFill="1" applyBorder="1"/>
    <xf numFmtId="0" fontId="0" fillId="3" borderId="6" xfId="0" applyFill="1" applyBorder="1"/>
    <xf numFmtId="0" fontId="0" fillId="3" borderId="7" xfId="0" applyFill="1" applyBorder="1"/>
    <xf numFmtId="167" fontId="0" fillId="4" borderId="15" xfId="1" applyNumberFormat="1" applyFont="1" applyFill="1" applyBorder="1" applyAlignment="1">
      <alignment horizontal="left" vertical="center"/>
    </xf>
    <xf numFmtId="167" fontId="0" fillId="4" borderId="16" xfId="1" applyNumberFormat="1" applyFont="1" applyFill="1" applyBorder="1" applyAlignment="1">
      <alignment horizontal="left" vertical="center"/>
    </xf>
    <xf numFmtId="167" fontId="0" fillId="4" borderId="16" xfId="0" applyNumberFormat="1" applyFill="1" applyBorder="1" applyAlignment="1">
      <alignment horizontal="left" vertical="center"/>
    </xf>
    <xf numFmtId="166" fontId="0" fillId="8" borderId="5" xfId="1" applyNumberFormat="1" applyFont="1" applyFill="1" applyBorder="1" applyAlignment="1">
      <alignment horizontal="left"/>
    </xf>
    <xf numFmtId="166" fontId="0" fillId="8" borderId="6" xfId="1" applyNumberFormat="1" applyFont="1" applyFill="1" applyBorder="1" applyAlignment="1">
      <alignment horizontal="left"/>
    </xf>
    <xf numFmtId="166" fontId="0" fillId="8" borderId="7" xfId="1" applyNumberFormat="1" applyFont="1" applyFill="1" applyBorder="1" applyAlignment="1">
      <alignment horizontal="left"/>
    </xf>
    <xf numFmtId="166" fontId="0" fillId="8" borderId="8" xfId="1" applyNumberFormat="1" applyFont="1" applyFill="1" applyBorder="1" applyAlignment="1">
      <alignment horizontal="left"/>
    </xf>
    <xf numFmtId="167" fontId="0" fillId="8" borderId="15" xfId="1" applyNumberFormat="1" applyFont="1" applyFill="1" applyBorder="1" applyAlignment="1">
      <alignment horizontal="left" vertical="center"/>
    </xf>
    <xf numFmtId="167" fontId="0" fillId="8" borderId="16" xfId="1" applyNumberFormat="1" applyFont="1" applyFill="1" applyBorder="1" applyAlignment="1">
      <alignment horizontal="left" vertical="center"/>
    </xf>
    <xf numFmtId="0" fontId="0" fillId="8" borderId="17" xfId="0" applyFill="1" applyBorder="1" applyAlignment="1">
      <alignment horizontal="left" vertical="center"/>
    </xf>
    <xf numFmtId="167" fontId="0" fillId="8" borderId="16" xfId="0" applyNumberFormat="1" applyFill="1" applyBorder="1" applyAlignment="1">
      <alignment horizontal="left" vertical="center"/>
    </xf>
    <xf numFmtId="0" fontId="0" fillId="0" borderId="9" xfId="0" applyBorder="1" applyAlignment="1">
      <alignment vertical="top" wrapText="1"/>
    </xf>
    <xf numFmtId="9" fontId="0" fillId="0" borderId="8" xfId="2" applyFont="1" applyBorder="1" applyAlignment="1">
      <alignment horizontal="center"/>
    </xf>
    <xf numFmtId="0" fontId="0" fillId="0" borderId="17" xfId="2" applyNumberFormat="1" applyFont="1" applyBorder="1" applyAlignment="1">
      <alignment horizontal="center"/>
    </xf>
    <xf numFmtId="166" fontId="6" fillId="0" borderId="5" xfId="0" applyNumberFormat="1" applyFont="1" applyBorder="1" applyAlignment="1">
      <alignment horizontal="center"/>
    </xf>
    <xf numFmtId="166" fontId="6" fillId="0" borderId="6" xfId="0" applyNumberFormat="1" applyFont="1" applyBorder="1" applyAlignment="1">
      <alignment horizontal="center"/>
    </xf>
    <xf numFmtId="166" fontId="6" fillId="0" borderId="7" xfId="0" applyNumberFormat="1" applyFont="1" applyBorder="1" applyAlignment="1">
      <alignment horizontal="center"/>
    </xf>
    <xf numFmtId="0" fontId="17" fillId="0" borderId="0" xfId="0" applyFont="1"/>
    <xf numFmtId="165" fontId="14" fillId="0" borderId="0" xfId="0" applyNumberFormat="1" applyFont="1"/>
    <xf numFmtId="0" fontId="0" fillId="6" borderId="17" xfId="0" applyFill="1" applyBorder="1" applyAlignment="1">
      <alignment horizontal="left" vertical="center"/>
    </xf>
    <xf numFmtId="9" fontId="0" fillId="0" borderId="4" xfId="2" applyFont="1" applyFill="1" applyBorder="1" applyAlignment="1">
      <alignment horizontal="center"/>
    </xf>
    <xf numFmtId="0" fontId="18" fillId="0" borderId="0" xfId="0" applyFont="1"/>
    <xf numFmtId="0" fontId="19" fillId="0" borderId="0" xfId="0" applyFont="1"/>
    <xf numFmtId="0" fontId="14" fillId="6" borderId="0" xfId="0" applyFont="1" applyFill="1"/>
    <xf numFmtId="165" fontId="14" fillId="6" borderId="0" xfId="0" applyNumberFormat="1" applyFont="1" applyFill="1"/>
    <xf numFmtId="0" fontId="19" fillId="2" borderId="0" xfId="0" applyFont="1" applyFill="1"/>
    <xf numFmtId="0" fontId="0" fillId="2" borderId="0" xfId="0" applyFill="1"/>
    <xf numFmtId="164" fontId="7" fillId="0" borderId="18" xfId="0" applyNumberFormat="1" applyFont="1" applyBorder="1"/>
    <xf numFmtId="0" fontId="0" fillId="9" borderId="4" xfId="0" applyFill="1" applyBorder="1"/>
    <xf numFmtId="0" fontId="0" fillId="9" borderId="18" xfId="0" applyFill="1" applyBorder="1"/>
    <xf numFmtId="0" fontId="20" fillId="0" borderId="0" xfId="0" applyFont="1"/>
    <xf numFmtId="0" fontId="21" fillId="0" borderId="0" xfId="0" applyFont="1"/>
    <xf numFmtId="0" fontId="22" fillId="9" borderId="3" xfId="0" applyFont="1" applyFill="1" applyBorder="1"/>
    <xf numFmtId="0" fontId="0" fillId="9" borderId="8" xfId="0" applyFill="1" applyBorder="1"/>
    <xf numFmtId="0" fontId="9" fillId="0" borderId="14" xfId="0" applyFont="1" applyBorder="1" applyAlignment="1">
      <alignment horizontal="center"/>
    </xf>
    <xf numFmtId="0" fontId="0" fillId="0" borderId="0" xfId="0" applyAlignment="1">
      <alignment horizontal="center"/>
    </xf>
    <xf numFmtId="0" fontId="9" fillId="0" borderId="0" xfId="0" applyFont="1" applyAlignment="1">
      <alignment horizontal="center"/>
    </xf>
    <xf numFmtId="0" fontId="0" fillId="0" borderId="1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12" fillId="2" borderId="3"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4" xfId="0" applyFont="1" applyFill="1" applyBorder="1" applyAlignment="1">
      <alignment horizontal="center" vertical="center"/>
    </xf>
    <xf numFmtId="0" fontId="5" fillId="3" borderId="13" xfId="0" applyFont="1" applyFill="1" applyBorder="1" applyAlignment="1">
      <alignment horizontal="left" vertical="center"/>
    </xf>
    <xf numFmtId="0" fontId="5" fillId="3" borderId="15" xfId="0" applyFont="1" applyFill="1" applyBorder="1" applyAlignment="1">
      <alignment horizontal="left" vertical="center"/>
    </xf>
    <xf numFmtId="0" fontId="9" fillId="0" borderId="3" xfId="0" applyFont="1" applyBorder="1" applyAlignment="1">
      <alignment horizontal="center" vertical="center"/>
    </xf>
    <xf numFmtId="0" fontId="9" fillId="0" borderId="18" xfId="0" applyFont="1" applyBorder="1" applyAlignment="1">
      <alignment horizontal="center" vertical="center"/>
    </xf>
    <xf numFmtId="0" fontId="9" fillId="0" borderId="4" xfId="0" applyFont="1" applyBorder="1" applyAlignment="1">
      <alignment horizontal="center" vertical="center"/>
    </xf>
    <xf numFmtId="0" fontId="0" fillId="0" borderId="13"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165" fontId="1" fillId="0" borderId="0" xfId="0" applyNumberFormat="1" applyFont="1" applyAlignment="1">
      <alignment horizontal="center"/>
    </xf>
    <xf numFmtId="165" fontId="1" fillId="5" borderId="0" xfId="0" applyNumberFormat="1" applyFont="1" applyFill="1" applyAlignment="1">
      <alignment horizontal="center"/>
    </xf>
  </cellXfs>
  <cellStyles count="4">
    <cellStyle name="Hyperlink" xfId="3" builtinId="8"/>
    <cellStyle name="Procent" xfId="2" builtinId="5"/>
    <cellStyle name="Standaard" xfId="0" builtinId="0"/>
    <cellStyle name="Valuta" xfId="1" builtinId="4"/>
  </cellStyles>
  <dxfs count="31">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94DDF8"/>
      <color rgb="FFE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D31D1-963F-D848-B4F8-FACE9B98952A}">
  <dimension ref="A1:J32"/>
  <sheetViews>
    <sheetView showGridLines="0" tabSelected="1" workbookViewId="0">
      <selection activeCell="A7" sqref="A7"/>
    </sheetView>
  </sheetViews>
  <sheetFormatPr baseColWidth="10" defaultRowHeight="19" x14ac:dyDescent="0.25"/>
  <cols>
    <col min="1" max="1" width="10.83203125" style="120"/>
  </cols>
  <sheetData>
    <row r="1" spans="1:10" ht="30" thickBot="1" x14ac:dyDescent="0.4">
      <c r="A1" s="130" t="s">
        <v>117</v>
      </c>
      <c r="B1" s="127"/>
      <c r="C1" s="127"/>
      <c r="D1" s="127"/>
      <c r="E1" s="127"/>
      <c r="F1" s="126"/>
      <c r="G1" s="127"/>
      <c r="H1" s="126"/>
      <c r="I1" s="126"/>
      <c r="J1" s="131"/>
    </row>
    <row r="2" spans="1:10" x14ac:dyDescent="0.25">
      <c r="A2" s="128" t="s">
        <v>103</v>
      </c>
    </row>
    <row r="3" spans="1:10" x14ac:dyDescent="0.25">
      <c r="A3" s="57"/>
    </row>
    <row r="4" spans="1:10" ht="22" x14ac:dyDescent="0.3">
      <c r="A4" s="119" t="s">
        <v>108</v>
      </c>
    </row>
    <row r="5" spans="1:10" x14ac:dyDescent="0.25">
      <c r="A5" s="120" t="s">
        <v>107</v>
      </c>
    </row>
    <row r="6" spans="1:10" x14ac:dyDescent="0.25">
      <c r="A6" s="120" t="s">
        <v>110</v>
      </c>
    </row>
    <row r="7" spans="1:10" x14ac:dyDescent="0.25">
      <c r="A7" s="120" t="s">
        <v>98</v>
      </c>
    </row>
    <row r="9" spans="1:10" ht="22" x14ac:dyDescent="0.3">
      <c r="A9" s="119" t="s">
        <v>109</v>
      </c>
    </row>
    <row r="10" spans="1:10" x14ac:dyDescent="0.25">
      <c r="A10" s="123" t="s">
        <v>111</v>
      </c>
      <c r="B10" s="124"/>
      <c r="C10" s="124"/>
      <c r="D10" s="124"/>
      <c r="E10" s="124"/>
      <c r="F10" s="124"/>
    </row>
    <row r="12" spans="1:10" ht="22" x14ac:dyDescent="0.3">
      <c r="A12" s="119" t="s">
        <v>91</v>
      </c>
    </row>
    <row r="13" spans="1:10" x14ac:dyDescent="0.25">
      <c r="A13" s="120" t="s">
        <v>106</v>
      </c>
    </row>
    <row r="14" spans="1:10" x14ac:dyDescent="0.25">
      <c r="A14" s="120" t="s">
        <v>93</v>
      </c>
    </row>
    <row r="16" spans="1:10" x14ac:dyDescent="0.25">
      <c r="A16" s="120" t="s">
        <v>92</v>
      </c>
    </row>
    <row r="17" spans="1:7" x14ac:dyDescent="0.25">
      <c r="A17" s="120" t="s">
        <v>99</v>
      </c>
    </row>
    <row r="19" spans="1:7" x14ac:dyDescent="0.25">
      <c r="A19" s="120" t="s">
        <v>100</v>
      </c>
    </row>
    <row r="20" spans="1:7" x14ac:dyDescent="0.25">
      <c r="A20" s="120" t="s">
        <v>94</v>
      </c>
    </row>
    <row r="22" spans="1:7" x14ac:dyDescent="0.25">
      <c r="A22" s="120" t="s">
        <v>95</v>
      </c>
    </row>
    <row r="23" spans="1:7" x14ac:dyDescent="0.25">
      <c r="A23" s="120" t="s">
        <v>96</v>
      </c>
    </row>
    <row r="25" spans="1:7" ht="22" x14ac:dyDescent="0.3">
      <c r="A25" s="119" t="s">
        <v>97</v>
      </c>
    </row>
    <row r="26" spans="1:7" x14ac:dyDescent="0.25">
      <c r="A26" s="123" t="s">
        <v>112</v>
      </c>
      <c r="B26" s="124"/>
      <c r="C26" s="124"/>
      <c r="D26" s="124"/>
      <c r="E26" s="124"/>
      <c r="F26" s="124"/>
      <c r="G26" s="124"/>
    </row>
    <row r="27" spans="1:7" x14ac:dyDescent="0.25">
      <c r="A27" s="129" t="s">
        <v>115</v>
      </c>
    </row>
    <row r="29" spans="1:7" x14ac:dyDescent="0.25">
      <c r="A29" s="120" t="s">
        <v>116</v>
      </c>
    </row>
    <row r="30" spans="1:7" x14ac:dyDescent="0.25">
      <c r="A30" s="120" t="s">
        <v>113</v>
      </c>
    </row>
    <row r="31" spans="1:7" x14ac:dyDescent="0.25">
      <c r="A31" s="120" t="s">
        <v>105</v>
      </c>
    </row>
    <row r="32" spans="1:7" x14ac:dyDescent="0.25">
      <c r="A32" s="120" t="s">
        <v>114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A4A24-C735-434F-ACF6-AD3ED109C29B}">
  <dimension ref="A1:AC40"/>
  <sheetViews>
    <sheetView showGridLines="0" zoomScale="92" workbookViewId="0">
      <selection activeCell="D5" sqref="D5"/>
    </sheetView>
  </sheetViews>
  <sheetFormatPr baseColWidth="10" defaultRowHeight="15" x14ac:dyDescent="0.2"/>
  <cols>
    <col min="1" max="1" width="43" customWidth="1"/>
    <col min="3" max="3" width="25.5" customWidth="1"/>
    <col min="6" max="6" width="16.6640625" customWidth="1"/>
    <col min="7" max="7" width="12.83203125" customWidth="1"/>
    <col min="8" max="8" width="14.83203125" customWidth="1"/>
    <col min="11" max="11" width="13.5" customWidth="1"/>
    <col min="12" max="12" width="15" customWidth="1"/>
    <col min="13" max="13" width="15.5" customWidth="1"/>
    <col min="14" max="14" width="14.33203125" customWidth="1"/>
    <col min="15" max="15" width="14.1640625" customWidth="1"/>
    <col min="16" max="16" width="11.83203125" customWidth="1"/>
    <col min="17" max="17" width="15.5" customWidth="1"/>
  </cols>
  <sheetData>
    <row r="1" spans="1:29" ht="16" thickBot="1" x14ac:dyDescent="0.25"/>
    <row r="2" spans="1:29" ht="27" customHeight="1" thickBot="1" x14ac:dyDescent="0.3">
      <c r="C2" s="134" t="s">
        <v>33</v>
      </c>
      <c r="D2" s="134"/>
      <c r="F2" s="132" t="s">
        <v>34</v>
      </c>
      <c r="G2" s="132"/>
      <c r="H2" s="132"/>
      <c r="J2" s="57" t="s">
        <v>35</v>
      </c>
      <c r="L2" s="138" t="s">
        <v>59</v>
      </c>
      <c r="M2" s="139"/>
      <c r="N2" s="140"/>
    </row>
    <row r="3" spans="1:29" ht="26" thickBot="1" x14ac:dyDescent="0.25">
      <c r="A3" s="25" t="s">
        <v>0</v>
      </c>
      <c r="C3" s="18" t="s">
        <v>23</v>
      </c>
      <c r="D3" s="19"/>
      <c r="F3" s="33"/>
      <c r="G3" s="69" t="s">
        <v>36</v>
      </c>
      <c r="H3" s="67" t="s">
        <v>8</v>
      </c>
    </row>
    <row r="4" spans="1:29" ht="23" customHeight="1" thickBot="1" x14ac:dyDescent="0.25">
      <c r="A4" s="26" t="s">
        <v>1</v>
      </c>
      <c r="C4" s="15" t="s">
        <v>90</v>
      </c>
      <c r="D4" s="46">
        <v>1500</v>
      </c>
      <c r="F4" s="54" t="s">
        <v>3</v>
      </c>
      <c r="G4" s="61">
        <v>25000</v>
      </c>
      <c r="H4" s="62">
        <v>35</v>
      </c>
      <c r="J4" s="143" t="s">
        <v>55</v>
      </c>
      <c r="K4" s="144"/>
      <c r="L4" s="144"/>
      <c r="M4" s="144"/>
      <c r="N4" s="144"/>
      <c r="O4" s="144"/>
      <c r="P4" s="144"/>
      <c r="Q4" s="144"/>
      <c r="R4" s="145"/>
      <c r="Z4" s="38"/>
      <c r="AA4" s="38"/>
      <c r="AB4" s="38"/>
      <c r="AC4" s="38"/>
    </row>
    <row r="5" spans="1:29" ht="19" customHeight="1" thickBot="1" x14ac:dyDescent="0.25">
      <c r="A5" s="27" t="s">
        <v>2</v>
      </c>
      <c r="C5" s="15" t="s">
        <v>88</v>
      </c>
      <c r="D5" s="47">
        <v>2500</v>
      </c>
      <c r="F5" s="55" t="s">
        <v>4</v>
      </c>
      <c r="G5" s="63">
        <v>50000</v>
      </c>
      <c r="H5" s="64">
        <v>55</v>
      </c>
      <c r="K5" s="38"/>
      <c r="L5" s="38"/>
      <c r="M5" s="38"/>
      <c r="N5" s="38"/>
      <c r="AA5" s="3"/>
    </row>
    <row r="6" spans="1:29" ht="20" customHeight="1" thickBot="1" x14ac:dyDescent="0.25">
      <c r="C6" s="16" t="s">
        <v>89</v>
      </c>
      <c r="D6" s="48">
        <v>0</v>
      </c>
      <c r="F6" s="56" t="s">
        <v>5</v>
      </c>
      <c r="G6" s="65">
        <v>75000</v>
      </c>
      <c r="H6" s="66">
        <v>70</v>
      </c>
      <c r="K6" s="135" t="s">
        <v>86</v>
      </c>
      <c r="L6" s="136"/>
      <c r="M6" s="137" t="s">
        <v>65</v>
      </c>
      <c r="N6" s="136"/>
      <c r="O6" s="137" t="s">
        <v>66</v>
      </c>
      <c r="P6" s="136"/>
      <c r="Q6" s="137" t="s">
        <v>83</v>
      </c>
      <c r="R6" s="136"/>
      <c r="Z6" s="50"/>
      <c r="AA6" s="50"/>
      <c r="AB6" s="50"/>
      <c r="AC6" s="50"/>
    </row>
    <row r="7" spans="1:29" ht="16" thickBot="1" x14ac:dyDescent="0.25">
      <c r="C7" s="33" t="s">
        <v>27</v>
      </c>
      <c r="D7" s="49">
        <v>2000</v>
      </c>
      <c r="J7" s="72"/>
      <c r="K7" s="110" t="s">
        <v>54</v>
      </c>
      <c r="L7" s="118" t="s">
        <v>87</v>
      </c>
      <c r="M7" s="74" t="s">
        <v>54</v>
      </c>
      <c r="N7" s="74" t="s">
        <v>53</v>
      </c>
      <c r="O7" s="74" t="s">
        <v>54</v>
      </c>
      <c r="P7" s="111" t="s">
        <v>53</v>
      </c>
      <c r="Q7" s="74" t="s">
        <v>54</v>
      </c>
      <c r="R7" s="74" t="s">
        <v>53</v>
      </c>
      <c r="Y7" s="68"/>
      <c r="Z7" s="51"/>
      <c r="AA7" s="51"/>
      <c r="AB7" s="51"/>
      <c r="AC7" s="51"/>
    </row>
    <row r="8" spans="1:29" ht="16" thickBot="1" x14ac:dyDescent="0.25">
      <c r="J8" s="73">
        <f>G$4</f>
        <v>25000</v>
      </c>
      <c r="K8" s="75">
        <f>Stadspas!J$29</f>
        <v>1688.8001410299446</v>
      </c>
      <c r="L8" s="87" t="str" cm="1">
        <f t="array" ref="L8">_xlfn.IFNA(INDEX(Stadspas!$E$17:$E$26, MATCH(TRUE, Stadspas!$J$17:$J$26&lt;&gt;0, 0)),"Voldoende")</f>
        <v>jaar 9</v>
      </c>
      <c r="M8" s="112">
        <f>Ledenlening!H29</f>
        <v>3307.623877838686</v>
      </c>
      <c r="N8" s="90" t="str" cm="1">
        <f t="array" ref="N8">_xlfn.IFNA(INDEX(Ledenlening!$E$17:$E$26, MATCH(TRUE, Ledenlening!$G$17:$G$26&gt;Draagkrachtberekening!$D$15, 0)),"Voldoende")</f>
        <v>Voldoende</v>
      </c>
      <c r="O8" s="112">
        <f>Overig!$G$29</f>
        <v>10675.294947234966</v>
      </c>
      <c r="P8" s="90" t="str" cm="1">
        <f t="array" ref="P8">_xlfn.IFNA(INDEX("Onvoldoende", MATCH(TRUE, Overig!$G$17:$G$26&gt;Draagkrachtberekening!$D$22, 0)),"Voldoende")</f>
        <v>Voldoende</v>
      </c>
      <c r="Q8" s="89">
        <f>Overig!$G$29</f>
        <v>10675.294947234966</v>
      </c>
      <c r="R8" s="90" t="str" cm="1">
        <f t="array" ref="R8">_xlfn.IFNA(INDEX("Onvoldoende", MATCH(TRUE, Overig!$G$17:$G$26&gt;Draagkrachtberekening!$D$29, 0)),"Voldoende")</f>
        <v>Voldoende</v>
      </c>
      <c r="Y8" s="68"/>
      <c r="Z8" s="51"/>
      <c r="AA8" s="51"/>
      <c r="AB8" s="51"/>
      <c r="AC8" s="51"/>
    </row>
    <row r="9" spans="1:29" ht="16" thickBot="1" x14ac:dyDescent="0.25">
      <c r="C9" s="141" t="s">
        <v>22</v>
      </c>
      <c r="D9" s="142"/>
      <c r="J9" s="70">
        <f>G$5</f>
        <v>50000</v>
      </c>
      <c r="K9" s="75">
        <f>Stadspas!R$29</f>
        <v>14307.183526583183</v>
      </c>
      <c r="L9" s="87" t="str" cm="1">
        <f t="array" ref="L9">_xlfn.IFNA(INDEX(Stadspas!$M$17:$M$26, MATCH(TRUE, Stadspas!$R$17:$R$26&lt;&gt;0, 0)),"Voldoende")</f>
        <v>jaar 3</v>
      </c>
      <c r="M9" s="113">
        <f>Ledenlening!O29</f>
        <v>16083.979408228979</v>
      </c>
      <c r="N9" s="75" t="str" cm="1">
        <f t="array" ref="N9">_xlfn.IFNA(INDEX(Ledenlening!$L$17:$L$26,MATCH(TRUE, Ledenlening!$N$17:$N$26&gt;Draagkrachtberekening!$D$15, 0)),"Voldoende")</f>
        <v>jaar 8</v>
      </c>
      <c r="O9" s="113">
        <f>Overig!$N$29</f>
        <v>25983.979408228981</v>
      </c>
      <c r="P9" s="75" t="str" cm="1">
        <f t="array" ref="P9">_xlfn.IFNA(INDEX("Onvoldoende", MATCH(TRUE, Overig!$N$17:$N$26&gt;Draagkrachtberekening!$D$22, 0)),"Voldoende")</f>
        <v>Voldoende</v>
      </c>
      <c r="Q9" s="85">
        <f>Overig!$N$29</f>
        <v>25983.979408228981</v>
      </c>
      <c r="R9" s="75" t="str" cm="1">
        <f t="array" ref="R9">_xlfn.IFNA(INDEX("Onvoldoende", MATCH(TRUE, Overig!$N$17:$N$26&gt;Draagkrachtberekening!$D$29, 0)),"Voldoende")</f>
        <v>Voldoende</v>
      </c>
      <c r="Y9" s="68"/>
      <c r="Z9" s="51"/>
      <c r="AA9" s="51"/>
      <c r="AB9" s="51"/>
      <c r="AC9" s="51"/>
    </row>
    <row r="10" spans="1:29" ht="16" thickBot="1" x14ac:dyDescent="0.25">
      <c r="C10" s="95" t="s">
        <v>74</v>
      </c>
      <c r="D10" s="98">
        <v>1</v>
      </c>
      <c r="J10" s="71">
        <f>G$6</f>
        <v>75000</v>
      </c>
      <c r="K10" s="76">
        <f>Stadspas!Z$29</f>
        <v>31992.66386922299</v>
      </c>
      <c r="L10" s="88" t="str" cm="1">
        <f t="array" ref="L10">_xlfn.IFNA(INDEX(Stadspas!$U$17:$U$26, MATCH(TRUE, Stadspas!$Z$17:$Z$26&lt;&gt;0, 0)),"Voldoende")</f>
        <v>jaar 1</v>
      </c>
      <c r="M10" s="114">
        <f>Ledenlening!V29</f>
        <v>31992.66386922299</v>
      </c>
      <c r="N10" s="76" t="str" cm="1">
        <f t="array" ref="N10">_xlfn.IFNA(INDEX(Ledenlening!$S$17:$S$26, MATCH(TRUE, Ledenlening!$U$17:$U$26&gt;Draagkrachtberekening!$D$15, 0)),"Voldoende")</f>
        <v>jaar 1</v>
      </c>
      <c r="O10" s="114">
        <f>Overig!$U$29</f>
        <v>41892.66386922299</v>
      </c>
      <c r="P10" s="76" t="str" cm="1">
        <f t="array" ref="P10">_xlfn.IFNA(INDEX("Onvoldoende", MATCH(TRUE, Overig!$U$17:$U$26&gt;Draagkrachtberekening!$D$22, 0)),"Voldoende")</f>
        <v>Onvoldoende</v>
      </c>
      <c r="Q10" s="86">
        <f>Overig!$U$29</f>
        <v>41892.66386922299</v>
      </c>
      <c r="R10" s="76" t="str" cm="1">
        <f t="array" ref="R10">_xlfn.IFNA(INDEX("Onvoldoende", MATCH(TRUE, Overig!$U$17:$U$26&gt;Draagkrachtberekening!$D$29, 0)),"Voldoende")</f>
        <v>Voldoende</v>
      </c>
      <c r="Y10" s="39"/>
      <c r="AA10" s="3"/>
      <c r="AB10" s="3"/>
    </row>
    <row r="11" spans="1:29" x14ac:dyDescent="0.2">
      <c r="C11" s="96" t="s">
        <v>75</v>
      </c>
      <c r="D11" s="99">
        <v>3.6999999999999998E-2</v>
      </c>
      <c r="L11" s="3"/>
      <c r="AA11" s="3"/>
    </row>
    <row r="12" spans="1:29" ht="21" customHeight="1" thickBot="1" x14ac:dyDescent="0.25">
      <c r="C12" s="97" t="s">
        <v>81</v>
      </c>
      <c r="D12" s="117">
        <v>20</v>
      </c>
      <c r="L12" s="3"/>
      <c r="AA12" s="3"/>
    </row>
    <row r="13" spans="1:29" ht="16" thickBot="1" x14ac:dyDescent="0.25">
      <c r="C13" s="96" t="s">
        <v>76</v>
      </c>
      <c r="D13" s="99">
        <v>0</v>
      </c>
      <c r="Z13" s="133"/>
      <c r="AA13" s="133"/>
      <c r="AB13" s="133"/>
      <c r="AC13" s="133"/>
    </row>
    <row r="14" spans="1:29" ht="20" thickBot="1" x14ac:dyDescent="0.25">
      <c r="C14" s="96" t="s">
        <v>77</v>
      </c>
      <c r="D14" s="100">
        <v>0</v>
      </c>
      <c r="J14" s="143" t="s">
        <v>56</v>
      </c>
      <c r="K14" s="144"/>
      <c r="L14" s="144"/>
      <c r="M14" s="144"/>
      <c r="N14" s="144"/>
      <c r="O14" s="144"/>
      <c r="P14" s="144"/>
      <c r="Q14" s="144"/>
      <c r="R14" s="145"/>
      <c r="AA14" s="3"/>
    </row>
    <row r="15" spans="1:29" ht="16" thickBot="1" x14ac:dyDescent="0.25">
      <c r="C15" s="97" t="s">
        <v>82</v>
      </c>
      <c r="D15" s="117">
        <v>0</v>
      </c>
      <c r="K15" s="38"/>
      <c r="L15" s="38"/>
      <c r="M15" s="38"/>
      <c r="N15" s="38"/>
      <c r="Z15" s="50"/>
      <c r="AA15" s="50"/>
      <c r="AB15" s="50"/>
      <c r="AC15" s="50"/>
    </row>
    <row r="16" spans="1:29" ht="16" thickBot="1" x14ac:dyDescent="0.25">
      <c r="K16" s="146" t="s">
        <v>86</v>
      </c>
      <c r="L16" s="147"/>
      <c r="M16" s="148" t="s">
        <v>65</v>
      </c>
      <c r="N16" s="147"/>
      <c r="O16" s="148" t="s">
        <v>66</v>
      </c>
      <c r="P16" s="147"/>
      <c r="Q16" s="148" t="s">
        <v>83</v>
      </c>
      <c r="R16" s="147"/>
      <c r="Y16" s="39"/>
      <c r="Z16" s="51"/>
      <c r="AA16" s="51"/>
      <c r="AB16" s="51"/>
      <c r="AC16" s="51"/>
    </row>
    <row r="17" spans="10:29" ht="16" thickBot="1" x14ac:dyDescent="0.25">
      <c r="J17" s="72"/>
      <c r="K17" s="110" t="s">
        <v>54</v>
      </c>
      <c r="L17" s="118" t="s">
        <v>87</v>
      </c>
      <c r="M17" s="74" t="s">
        <v>54</v>
      </c>
      <c r="N17" s="74" t="s">
        <v>53</v>
      </c>
      <c r="O17" s="74" t="s">
        <v>54</v>
      </c>
      <c r="P17" s="111" t="s">
        <v>53</v>
      </c>
      <c r="Q17" s="74" t="s">
        <v>54</v>
      </c>
      <c r="R17" s="74" t="s">
        <v>53</v>
      </c>
      <c r="Y17" s="39"/>
      <c r="Z17" s="51"/>
      <c r="AA17" s="51"/>
      <c r="AB17" s="51"/>
      <c r="AC17" s="51"/>
    </row>
    <row r="18" spans="10:29" x14ac:dyDescent="0.2">
      <c r="J18" s="73">
        <f>G$4</f>
        <v>25000</v>
      </c>
      <c r="K18" s="75">
        <f>Stadspas!J$29</f>
        <v>1688.8001410299446</v>
      </c>
      <c r="L18" s="87" t="str" cm="1">
        <f t="array" ref="L18">_xlfn.IFNA(INDEX(Stadspas!$E$17:$E$26, MATCH(TRUE, Stadspas!$J$17:$J$26&lt;&gt;0, 0)),"Voldoende")</f>
        <v>jaar 9</v>
      </c>
      <c r="M18" s="112">
        <f>Ledenlening!$H$29</f>
        <v>3307.623877838686</v>
      </c>
      <c r="N18" s="90" t="str" cm="1">
        <f t="array" ref="N18">_xlfn.IFNA(INDEX(Ledenlening!$E$17:$E$26, MATCH(TRUE, Ledenlening!$G$17:$G$26&gt;Draagkrachtberekening!$D$16, 0)),"Voldoende")</f>
        <v>Voldoende</v>
      </c>
      <c r="O18" s="112">
        <f>Overig!$G$29</f>
        <v>10675.294947234966</v>
      </c>
      <c r="P18" s="90" t="str" cm="1">
        <f t="array" ref="P18">_xlfn.IFNA(INDEX("Onvoldoende", MATCH(TRUE, Overig!$G$17:$G$26&gt;Draagkrachtberekening!$D$23, 0)),"Voldoende")</f>
        <v>Voldoende</v>
      </c>
      <c r="Q18" s="112">
        <f>Overig!$G$29</f>
        <v>10675.294947234966</v>
      </c>
      <c r="R18" s="90" t="str" cm="1">
        <f t="array" ref="R18">_xlfn.IFNA(INDEX("Onvoldoende", MATCH(TRUE, Overig!$G$17:$G$26&gt;Draagkrachtberekening!$D$30, 0)),"Voldoende")</f>
        <v>Voldoende</v>
      </c>
      <c r="Y18" s="39"/>
      <c r="Z18" s="51"/>
      <c r="AA18" s="51"/>
      <c r="AB18" s="51"/>
      <c r="AC18" s="51"/>
    </row>
    <row r="19" spans="10:29" x14ac:dyDescent="0.2">
      <c r="J19" s="70">
        <f>G$5</f>
        <v>50000</v>
      </c>
      <c r="K19" s="75">
        <f>Stadspas!R$29</f>
        <v>14307.183526583183</v>
      </c>
      <c r="L19" s="87" t="str" cm="1">
        <f t="array" ref="L19">_xlfn.IFNA(INDEX(Stadspas!$M$17:$M$26, MATCH(TRUE, Stadspas!$R$17:$R$26&lt;&gt;0, 0)),"Voldoende")</f>
        <v>jaar 3</v>
      </c>
      <c r="M19" s="113">
        <f>Ledenlening!$O$29</f>
        <v>16083.979408228979</v>
      </c>
      <c r="N19" s="75" t="str" cm="1">
        <f t="array" ref="N19">_xlfn.IFNA(INDEX(Ledenlening!$L$17:$L$26,MATCH(TRUE, Ledenlening!$N$17:$N$26&gt;Draagkrachtberekening!$D$16, 0)),"Voldoende")</f>
        <v>Voldoende</v>
      </c>
      <c r="O19" s="113">
        <f>Overig!$N$29</f>
        <v>25983.979408228981</v>
      </c>
      <c r="P19" s="75" t="str" cm="1">
        <f t="array" ref="P19">_xlfn.IFNA(INDEX("Onvoldoende", MATCH(TRUE, Overig!$N$17:$N$26&gt;Draagkrachtberekening!$D$23, 0)),"Voldoende")</f>
        <v>Voldoende</v>
      </c>
      <c r="Q19" s="113">
        <f>Overig!$N$29</f>
        <v>25983.979408228981</v>
      </c>
      <c r="R19" s="75" t="str" cm="1">
        <f t="array" ref="R19">_xlfn.IFNA(INDEX("Onvoldoende", MATCH(TRUE, Overig!$N$17:$N$26&gt;Draagkrachtberekening!$D$30, 0)),"Voldoende")</f>
        <v>Voldoende</v>
      </c>
    </row>
    <row r="20" spans="10:29" ht="16" thickBot="1" x14ac:dyDescent="0.25">
      <c r="J20" s="71">
        <f>G$6</f>
        <v>75000</v>
      </c>
      <c r="K20" s="76">
        <f>Stadspas!Z$29</f>
        <v>31992.66386922299</v>
      </c>
      <c r="L20" s="88" t="str" cm="1">
        <f t="array" ref="L20">_xlfn.IFNA(INDEX(Stadspas!$U$17:$U$26, MATCH(TRUE, Stadspas!$Z$17:$Z$26&lt;&gt;0, 0)),"Voldoende")</f>
        <v>jaar 1</v>
      </c>
      <c r="M20" s="114">
        <f>Ledenlening!$V$29</f>
        <v>31992.66386922299</v>
      </c>
      <c r="N20" s="76" t="str" cm="1">
        <f t="array" ref="N20">_xlfn.IFNA(INDEX(Ledenlening!$S$17:$S$26, MATCH(TRUE, Ledenlening!$U$17:$U$26&gt;Draagkrachtberekening!$D$16, 0)),"Voldoende")</f>
        <v>jaar 5</v>
      </c>
      <c r="O20" s="114">
        <f>Overig!$U$29</f>
        <v>41892.66386922299</v>
      </c>
      <c r="P20" s="76" t="str" cm="1">
        <f t="array" ref="P20">_xlfn.IFNA(INDEX("Onvoldoende", MATCH(TRUE, Overig!$U$17:$U$26&gt;Draagkrachtberekening!$D$23, 0)),"Voldoende")</f>
        <v>Voldoende</v>
      </c>
      <c r="Q20" s="114">
        <f>Overig!$U$29</f>
        <v>41892.66386922299</v>
      </c>
      <c r="R20" s="76" t="str" cm="1">
        <f t="array" ref="R20">_xlfn.IFNA(INDEX("Onvoldoende", MATCH(TRUE, Overig!$U$17:$U$26&gt;Draagkrachtberekening!$D$30, 0)),"Voldoende")</f>
        <v>Voldoende</v>
      </c>
    </row>
    <row r="23" spans="10:29" ht="16" thickBot="1" x14ac:dyDescent="0.25"/>
    <row r="24" spans="10:29" ht="20" thickBot="1" x14ac:dyDescent="0.25">
      <c r="J24" s="143" t="s">
        <v>57</v>
      </c>
      <c r="K24" s="144"/>
      <c r="L24" s="144"/>
      <c r="M24" s="144"/>
      <c r="N24" s="144"/>
      <c r="O24" s="144"/>
      <c r="P24" s="144"/>
      <c r="Q24" s="144"/>
      <c r="R24" s="145"/>
    </row>
    <row r="25" spans="10:29" ht="16" thickBot="1" x14ac:dyDescent="0.25">
      <c r="K25" s="38"/>
      <c r="L25" s="38"/>
      <c r="M25" s="38"/>
      <c r="N25" s="38"/>
    </row>
    <row r="26" spans="10:29" ht="16" thickBot="1" x14ac:dyDescent="0.25">
      <c r="K26" s="146" t="s">
        <v>86</v>
      </c>
      <c r="L26" s="147"/>
      <c r="M26" s="148" t="s">
        <v>65</v>
      </c>
      <c r="N26" s="147"/>
      <c r="O26" s="148" t="s">
        <v>66</v>
      </c>
      <c r="P26" s="147"/>
      <c r="Q26" s="148" t="s">
        <v>83</v>
      </c>
      <c r="R26" s="147"/>
    </row>
    <row r="27" spans="10:29" ht="16" thickBot="1" x14ac:dyDescent="0.25">
      <c r="J27" s="72"/>
      <c r="K27" s="110" t="s">
        <v>54</v>
      </c>
      <c r="L27" s="118" t="s">
        <v>87</v>
      </c>
      <c r="M27" s="74" t="s">
        <v>54</v>
      </c>
      <c r="N27" s="74" t="s">
        <v>53</v>
      </c>
      <c r="O27" s="74" t="s">
        <v>54</v>
      </c>
      <c r="P27" s="111" t="s">
        <v>53</v>
      </c>
      <c r="Q27" s="74" t="s">
        <v>54</v>
      </c>
      <c r="R27" s="74" t="s">
        <v>53</v>
      </c>
    </row>
    <row r="28" spans="10:29" x14ac:dyDescent="0.2">
      <c r="J28" s="73">
        <f>G$4</f>
        <v>25000</v>
      </c>
      <c r="K28" s="75">
        <f>Stadspas!J$29</f>
        <v>1688.8001410299446</v>
      </c>
      <c r="L28" s="87" t="str" cm="1">
        <f t="array" ref="L28">_xlfn.IFNA(INDEX(Stadspas!$E$17:$E$26, MATCH(TRUE, Stadspas!$J$17:$J$26&lt;&gt;0, 0)),"Voldoende")</f>
        <v>jaar 9</v>
      </c>
      <c r="M28" s="112">
        <f>Ledenlening!$H$29</f>
        <v>3307.623877838686</v>
      </c>
      <c r="N28" s="90" t="str" cm="1">
        <f t="array" ref="N28">_xlfn.IFNA(INDEX(Ledenlening!$E$17:$E$26, MATCH(TRUE, Ledenlening!$G$17:$G$26&gt;Draagkrachtberekening!$D$17, 0)),"Voldoende")</f>
        <v>Voldoende</v>
      </c>
      <c r="O28" s="112">
        <f>Overig!$G$29</f>
        <v>10675.294947234966</v>
      </c>
      <c r="P28" s="90" t="str" cm="1">
        <f t="array" ref="P28">_xlfn.IFNA(INDEX("Onvoldoende", MATCH(TRUE, Overig!$G$17:$G$26&gt;Draagkrachtberekening!$D$24, 0)),"Voldoende")</f>
        <v>Voldoende</v>
      </c>
      <c r="Q28" s="112">
        <f>Overig!$G$29</f>
        <v>10675.294947234966</v>
      </c>
      <c r="R28" s="90" t="str" cm="1">
        <f t="array" ref="R28">_xlfn.IFNA(INDEX("Onvoldoende", MATCH(TRUE, Overig!$G$17:$G$26&gt;Draagkrachtberekening!$D$31, 0)),"Voldoende")</f>
        <v>Voldoende</v>
      </c>
    </row>
    <row r="29" spans="10:29" x14ac:dyDescent="0.2">
      <c r="J29" s="70">
        <f>G$5</f>
        <v>50000</v>
      </c>
      <c r="K29" s="75">
        <f>Stadspas!R$29</f>
        <v>14307.183526583183</v>
      </c>
      <c r="L29" s="87" t="str" cm="1">
        <f t="array" ref="L29">_xlfn.IFNA(INDEX(Stadspas!$M$17:$M$26, MATCH(TRUE, Stadspas!$R$17:$R$26&lt;&gt;0, 0)),"Voldoende")</f>
        <v>jaar 3</v>
      </c>
      <c r="M29" s="113">
        <f>Ledenlening!$O$29</f>
        <v>16083.979408228979</v>
      </c>
      <c r="N29" s="75" t="str" cm="1">
        <f t="array" ref="N29">_xlfn.IFNA(INDEX(Ledenlening!$L$17:$L$26,MATCH(TRUE, Ledenlening!$N$17:$N$26&gt;Draagkrachtberekening!$D$17, 0)),"Voldoende")</f>
        <v>jaar 10</v>
      </c>
      <c r="O29" s="113">
        <f>Overig!$N$29</f>
        <v>25983.979408228981</v>
      </c>
      <c r="P29" s="75" t="str" cm="1">
        <f t="array" ref="P29">_xlfn.IFNA(INDEX("Onvoldoende", MATCH(TRUE, Overig!$N$17:$N$26&gt;Draagkrachtberekening!$D$24, 0)),"Voldoende")</f>
        <v>Voldoende</v>
      </c>
      <c r="Q29" s="113">
        <f>Overig!$N$29</f>
        <v>25983.979408228981</v>
      </c>
      <c r="R29" s="75" t="str" cm="1">
        <f t="array" ref="R29">_xlfn.IFNA(INDEX("Onvoldoende", MATCH(TRUE, Overig!$N$17:$N$26&gt;Draagkrachtberekening!$D$31, 0)),"Voldoende")</f>
        <v>Voldoende</v>
      </c>
    </row>
    <row r="30" spans="10:29" ht="16" thickBot="1" x14ac:dyDescent="0.25">
      <c r="J30" s="71">
        <f>G$6</f>
        <v>75000</v>
      </c>
      <c r="K30" s="76">
        <f>Stadspas!Z$29</f>
        <v>31992.66386922299</v>
      </c>
      <c r="L30" s="88" t="str" cm="1">
        <f t="array" ref="L30">_xlfn.IFNA(INDEX(Stadspas!$U$17:$U$26, MATCH(TRUE, Stadspas!$Z$17:$Z$26&lt;&gt;0, 0)),"Voldoende")</f>
        <v>jaar 1</v>
      </c>
      <c r="M30" s="114">
        <f>Ledenlening!$V$29</f>
        <v>31992.66386922299</v>
      </c>
      <c r="N30" s="76" t="str" cm="1">
        <f t="array" ref="N30">_xlfn.IFNA(INDEX(Ledenlening!$S$17:$S$26, MATCH(TRUE, Ledenlening!$U$17:$U$26&gt;Draagkrachtberekening!$D$17, 0)),"Voldoende")</f>
        <v>jaar 1</v>
      </c>
      <c r="O30" s="114">
        <f>Overig!$U$29</f>
        <v>41892.66386922299</v>
      </c>
      <c r="P30" s="76" t="str" cm="1">
        <f t="array" ref="P30">_xlfn.IFNA(INDEX("Onvoldoende", MATCH(TRUE, Overig!$U$17:$U$26&gt;Draagkrachtberekening!$D$24, 0)),"Voldoende")</f>
        <v>Voldoende</v>
      </c>
      <c r="Q30" s="114">
        <f>Overig!$U$29</f>
        <v>41892.66386922299</v>
      </c>
      <c r="R30" s="76" t="str" cm="1">
        <f t="array" ref="R30">_xlfn.IFNA(INDEX("Onvoldoende", MATCH(TRUE, Overig!$U$17:$U$26&gt;Draagkrachtberekening!$D$31, 0)),"Voldoende")</f>
        <v>Voldoende</v>
      </c>
    </row>
    <row r="33" spans="10:18" ht="16" thickBot="1" x14ac:dyDescent="0.25"/>
    <row r="34" spans="10:18" ht="20" thickBot="1" x14ac:dyDescent="0.25">
      <c r="J34" s="143" t="s">
        <v>58</v>
      </c>
      <c r="K34" s="144"/>
      <c r="L34" s="144"/>
      <c r="M34" s="144"/>
      <c r="N34" s="144"/>
      <c r="O34" s="144"/>
      <c r="P34" s="144"/>
      <c r="Q34" s="144"/>
      <c r="R34" s="145"/>
    </row>
    <row r="35" spans="10:18" ht="16" thickBot="1" x14ac:dyDescent="0.25">
      <c r="K35" s="38"/>
      <c r="L35" s="38"/>
      <c r="M35" s="38"/>
      <c r="N35" s="38"/>
    </row>
    <row r="36" spans="10:18" ht="16" thickBot="1" x14ac:dyDescent="0.25">
      <c r="K36" s="146" t="s">
        <v>86</v>
      </c>
      <c r="L36" s="147"/>
      <c r="M36" s="148" t="s">
        <v>65</v>
      </c>
      <c r="N36" s="147"/>
      <c r="O36" s="148" t="s">
        <v>66</v>
      </c>
      <c r="P36" s="147"/>
      <c r="Q36" s="148" t="s">
        <v>83</v>
      </c>
      <c r="R36" s="147"/>
    </row>
    <row r="37" spans="10:18" ht="16" thickBot="1" x14ac:dyDescent="0.25">
      <c r="J37" s="72"/>
      <c r="K37" s="110" t="s">
        <v>54</v>
      </c>
      <c r="L37" s="118" t="s">
        <v>87</v>
      </c>
      <c r="M37" s="74" t="s">
        <v>54</v>
      </c>
      <c r="N37" s="74" t="s">
        <v>53</v>
      </c>
      <c r="O37" s="74" t="s">
        <v>54</v>
      </c>
      <c r="P37" s="111" t="s">
        <v>53</v>
      </c>
      <c r="Q37" s="74" t="s">
        <v>54</v>
      </c>
      <c r="R37" s="74" t="s">
        <v>53</v>
      </c>
    </row>
    <row r="38" spans="10:18" x14ac:dyDescent="0.2">
      <c r="J38" s="73">
        <f>G$4</f>
        <v>25000</v>
      </c>
      <c r="K38" s="75">
        <f>Stadspas!J$29</f>
        <v>1688.8001410299446</v>
      </c>
      <c r="L38" s="87" t="str" cm="1">
        <f t="array" ref="L38">_xlfn.IFNA(INDEX(Stadspas!$E$17:$E$26, MATCH(TRUE, Stadspas!$J$17:$J$26&lt;&gt;0, 0)),"Voldoende")</f>
        <v>jaar 9</v>
      </c>
      <c r="M38" s="112">
        <f>Ledenlening!$H$29</f>
        <v>3307.623877838686</v>
      </c>
      <c r="N38" s="90" t="str" cm="1">
        <f t="array" ref="N38">_xlfn.IFNA(INDEX(Ledenlening!$E$17:$E$26, MATCH(TRUE, Ledenlening!$G$17:$G$26&gt;Draagkrachtberekening!$D$18, 0)),"Voldoende")</f>
        <v>Voldoende</v>
      </c>
      <c r="O38" s="112">
        <f>Overig!$G$29</f>
        <v>10675.294947234966</v>
      </c>
      <c r="P38" s="90" t="str" cm="1">
        <f t="array" ref="P38">_xlfn.IFNA(INDEX("Onvoldoende", MATCH(TRUE, Overig!$G$17:$G$26&gt;Draagkrachtberekening!$D$25, 0)),"Voldoende")</f>
        <v>Voldoende</v>
      </c>
      <c r="Q38" s="112">
        <f>Overig!$G$29</f>
        <v>10675.294947234966</v>
      </c>
      <c r="R38" s="90" t="str" cm="1">
        <f t="array" ref="R38">_xlfn.IFNA(INDEX("Onvoldoende", MATCH(TRUE, Overig!$G$17:$G$26&gt;Draagkrachtberekening!$D$32, 0)),"Voldoende")</f>
        <v>Voldoende</v>
      </c>
    </row>
    <row r="39" spans="10:18" x14ac:dyDescent="0.2">
      <c r="J39" s="70">
        <f>G$5</f>
        <v>50000</v>
      </c>
      <c r="K39" s="75">
        <f>Stadspas!R$29</f>
        <v>14307.183526583183</v>
      </c>
      <c r="L39" s="87" t="str" cm="1">
        <f t="array" ref="L39">_xlfn.IFNA(INDEX(Stadspas!$M$17:$M$26, MATCH(TRUE, Stadspas!$R$17:$R$26&lt;&gt;0, 0)),"Voldoende")</f>
        <v>jaar 3</v>
      </c>
      <c r="M39" s="113">
        <f>Ledenlening!$O$29</f>
        <v>16083.979408228979</v>
      </c>
      <c r="N39" s="75" t="str" cm="1">
        <f t="array" ref="N39">_xlfn.IFNA(INDEX(Ledenlening!$L$17:$L$26,MATCH(TRUE, Ledenlening!$N$17:$N$26&gt;Draagkrachtberekening!$D$18, 0)),"Voldoende")</f>
        <v>Voldoende</v>
      </c>
      <c r="O39" s="113">
        <f>Overig!$N$29</f>
        <v>25983.979408228981</v>
      </c>
      <c r="P39" s="75" t="str" cm="1">
        <f t="array" ref="P39">_xlfn.IFNA(INDEX("Onvoldoende", MATCH(TRUE, Overig!$N$17:$N$26&gt;Draagkrachtberekening!$D$25, 0)),"Voldoende")</f>
        <v>Voldoende</v>
      </c>
      <c r="Q39" s="113">
        <f>Overig!$N$29</f>
        <v>25983.979408228981</v>
      </c>
      <c r="R39" s="75" t="str" cm="1">
        <f t="array" ref="R39">_xlfn.IFNA(INDEX("Onvoldoende", MATCH(TRUE, Overig!$N$17:$N$26&gt;Draagkrachtberekening!$D$32, 0)),"Voldoende")</f>
        <v>Voldoende</v>
      </c>
    </row>
    <row r="40" spans="10:18" ht="16" thickBot="1" x14ac:dyDescent="0.25">
      <c r="J40" s="71">
        <f>G$6</f>
        <v>75000</v>
      </c>
      <c r="K40" s="76">
        <f>Stadspas!Z$29</f>
        <v>31992.66386922299</v>
      </c>
      <c r="L40" s="88" t="str" cm="1">
        <f t="array" ref="L40">_xlfn.IFNA(INDEX(Stadspas!$U$17:$U$26, MATCH(TRUE, Stadspas!$Z$17:$Z$26&lt;&gt;0, 0)),"Voldoende")</f>
        <v>jaar 1</v>
      </c>
      <c r="M40" s="114">
        <f>Ledenlening!$V$29</f>
        <v>31992.66386922299</v>
      </c>
      <c r="N40" s="76" t="str" cm="1">
        <f t="array" ref="N40">_xlfn.IFNA(INDEX(Ledenlening!$S$17:$S$26, MATCH(TRUE, Ledenlening!$U$17:$U$26&gt;Draagkrachtberekening!$D$18, 0)),"Voldoende")</f>
        <v>jaar 6</v>
      </c>
      <c r="O40" s="114">
        <f>Overig!$U$29</f>
        <v>41892.66386922299</v>
      </c>
      <c r="P40" s="76" t="str" cm="1">
        <f t="array" ref="P40">_xlfn.IFNA(INDEX("Onvoldoende", MATCH(TRUE, Overig!$U$17:$U$26&gt;Draagkrachtberekening!$D$25, 0)),"Voldoende")</f>
        <v>Voldoende</v>
      </c>
      <c r="Q40" s="114">
        <f>Overig!$U$29</f>
        <v>41892.66386922299</v>
      </c>
      <c r="R40" s="76" t="str" cm="1">
        <f t="array" ref="R40">_xlfn.IFNA(INDEX("Onvoldoende", MATCH(TRUE, Overig!$U$17:$U$26&gt;Draagkrachtberekening!$D$32, 0)),"Voldoende")</f>
        <v>Voldoende</v>
      </c>
    </row>
  </sheetData>
  <mergeCells count="25">
    <mergeCell ref="K36:L36"/>
    <mergeCell ref="M36:N36"/>
    <mergeCell ref="O36:P36"/>
    <mergeCell ref="Q36:R36"/>
    <mergeCell ref="J34:R34"/>
    <mergeCell ref="K26:L26"/>
    <mergeCell ref="M26:N26"/>
    <mergeCell ref="O26:P26"/>
    <mergeCell ref="Q26:R26"/>
    <mergeCell ref="J24:R24"/>
    <mergeCell ref="K16:L16"/>
    <mergeCell ref="M16:N16"/>
    <mergeCell ref="O16:P16"/>
    <mergeCell ref="Q16:R16"/>
    <mergeCell ref="J14:R14"/>
    <mergeCell ref="F2:H2"/>
    <mergeCell ref="Z13:AC13"/>
    <mergeCell ref="C2:D2"/>
    <mergeCell ref="K6:L6"/>
    <mergeCell ref="M6:N6"/>
    <mergeCell ref="O6:P6"/>
    <mergeCell ref="Q6:R6"/>
    <mergeCell ref="L2:N2"/>
    <mergeCell ref="C9:D9"/>
    <mergeCell ref="J4:R4"/>
  </mergeCells>
  <conditionalFormatting sqref="L1 N1 P1:P3 R1:R3 L3 N3 L5:L13 N5:N13 P5:P13 R5:R13 L15:L23 N15:N23 P15:P23 R15:R23 L25:L33 N25:N33 P25:P33 R25:R33 L35:L1048576 N35:N1048576 P35:P1048576 R35:R1048576">
    <cfRule type="containsText" dxfId="30" priority="2" operator="containsText" text="Voldoende">
      <formula>NOT(ISERROR(SEARCH("Voldoende",L1)))</formula>
    </cfRule>
    <cfRule type="containsText" dxfId="29" priority="3" operator="containsText" text="jaar">
      <formula>NOT(ISERROR(SEARCH("jaar",L1)))</formula>
    </cfRule>
  </conditionalFormatting>
  <conditionalFormatting sqref="L1:L3 N1:N3 P1:P3 R1:R3 L5:L13 N5:N13 P5:P13 R5:R13 L15:L23 N15:N23 P15:P23 R15:R23 L25:L33 N25:N33 P25:P33 R25:R33 L35:L1048576 N35:N1048576 P35:P1048576 R35:R1048576">
    <cfRule type="cellIs" dxfId="28" priority="1" operator="equal">
      <formula>"Onvoldoende"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82907-6EB4-ED40-84A8-60796B480847}">
  <sheetPr>
    <tabColor theme="3" tint="0.749992370372631"/>
  </sheetPr>
  <dimension ref="A1"/>
  <sheetViews>
    <sheetView workbookViewId="0">
      <selection activeCell="E35" sqref="E35:E36"/>
    </sheetView>
  </sheetViews>
  <sheetFormatPr baseColWidth="10" defaultRowHeight="15" x14ac:dyDescent="0.2"/>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E4695-C409-B64E-9EAF-5E1D07333D1E}">
  <dimension ref="A1:AC45"/>
  <sheetViews>
    <sheetView topLeftCell="L1" zoomScale="92" workbookViewId="0">
      <selection activeCell="Z17" sqref="Z17"/>
    </sheetView>
  </sheetViews>
  <sheetFormatPr baseColWidth="10" defaultColWidth="8.83203125"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9" width="14.33203125" customWidth="1"/>
    <col min="10" max="10" width="15.6640625" customWidth="1"/>
    <col min="11" max="11" width="10.33203125" customWidth="1"/>
    <col min="12" max="12" width="9.1640625" customWidth="1"/>
    <col min="13" max="13" width="13.1640625" customWidth="1"/>
    <col min="14" max="15" width="16.5" customWidth="1"/>
    <col min="16" max="16" width="11.5" customWidth="1"/>
    <col min="17" max="17" width="13.5" customWidth="1"/>
    <col min="18" max="18" width="13.6640625" customWidth="1"/>
    <col min="19" max="19" width="8.1640625" customWidth="1"/>
    <col min="20" max="20" width="8.83203125" customWidth="1"/>
    <col min="21" max="21" width="9.5" customWidth="1"/>
    <col min="22" max="22" width="21.33203125" style="3" customWidth="1"/>
    <col min="23" max="23" width="20.5" customWidth="1"/>
    <col min="24" max="26" width="14.5" customWidth="1"/>
    <col min="27" max="27" width="18.1640625" style="3" customWidth="1"/>
    <col min="28" max="28" width="17.1640625" customWidth="1"/>
    <col min="29" max="29" width="14.6640625" customWidth="1"/>
  </cols>
  <sheetData>
    <row r="1" spans="1:29" ht="20" customHeight="1" thickBot="1" x14ac:dyDescent="0.25">
      <c r="N1" s="3"/>
    </row>
    <row r="2" spans="1:29" ht="21" customHeight="1" thickBot="1" x14ac:dyDescent="0.25">
      <c r="B2" s="18" t="s">
        <v>23</v>
      </c>
      <c r="C2" s="19"/>
      <c r="D2" s="29"/>
      <c r="F2" s="150" t="s">
        <v>3</v>
      </c>
      <c r="G2" s="150"/>
      <c r="H2" s="150"/>
      <c r="I2" s="150"/>
      <c r="J2" s="150"/>
      <c r="N2" s="150" t="s">
        <v>4</v>
      </c>
      <c r="O2" s="150"/>
      <c r="P2" s="150"/>
      <c r="Q2" s="150"/>
      <c r="R2" s="150"/>
      <c r="V2" s="150" t="s">
        <v>5</v>
      </c>
      <c r="W2" s="150"/>
      <c r="X2" s="150"/>
      <c r="Y2" s="150"/>
      <c r="Z2" s="150"/>
      <c r="AA2" s="149"/>
      <c r="AB2" s="149"/>
    </row>
    <row r="3" spans="1:29" x14ac:dyDescent="0.2">
      <c r="B3" s="15" t="s">
        <v>24</v>
      </c>
      <c r="C3" s="101">
        <f>Hoofdblad!D4</f>
        <v>1500</v>
      </c>
      <c r="D3" s="30"/>
      <c r="F3" s="41">
        <f>Hoofdblad!G4</f>
        <v>25000</v>
      </c>
      <c r="G3" s="11" t="s">
        <v>6</v>
      </c>
      <c r="H3" s="11"/>
      <c r="I3" s="11"/>
      <c r="J3" s="11"/>
      <c r="K3" s="11"/>
      <c r="L3" s="11"/>
      <c r="M3" s="11"/>
      <c r="N3" s="41">
        <f>Hoofdblad!G5</f>
        <v>50000</v>
      </c>
      <c r="O3" s="11" t="s">
        <v>6</v>
      </c>
      <c r="P3" s="11"/>
      <c r="Q3" s="11"/>
      <c r="R3" s="11"/>
      <c r="S3" s="11"/>
      <c r="T3" s="11"/>
      <c r="U3" s="11"/>
      <c r="V3" s="42">
        <f>Hoofdblad!G6</f>
        <v>75000</v>
      </c>
      <c r="W3" s="11" t="s">
        <v>7</v>
      </c>
      <c r="X3" s="11"/>
      <c r="Y3" s="11"/>
      <c r="Z3" s="11"/>
      <c r="AA3" s="10"/>
      <c r="AB3" s="11"/>
    </row>
    <row r="4" spans="1:29" x14ac:dyDescent="0.2">
      <c r="B4" s="15" t="s">
        <v>25</v>
      </c>
      <c r="C4" s="102">
        <f>Hoofdblad!D5</f>
        <v>2500</v>
      </c>
      <c r="F4" s="58">
        <f>Hoofdblad!H4</f>
        <v>35</v>
      </c>
      <c r="G4" s="39" t="s">
        <v>8</v>
      </c>
      <c r="H4" s="39"/>
      <c r="I4" s="39"/>
      <c r="J4" s="39"/>
      <c r="K4" s="39"/>
      <c r="L4" s="39"/>
      <c r="M4" s="39"/>
      <c r="N4" s="59">
        <f>Hoofdblad!H5</f>
        <v>55</v>
      </c>
      <c r="O4" s="39" t="s">
        <v>8</v>
      </c>
      <c r="P4" s="39"/>
      <c r="Q4" s="39"/>
      <c r="R4" s="39"/>
      <c r="S4" s="39"/>
      <c r="T4" s="39"/>
      <c r="U4" s="39"/>
      <c r="V4" s="60">
        <f>Hoofdblad!H6</f>
        <v>70</v>
      </c>
      <c r="W4" t="s">
        <v>8</v>
      </c>
    </row>
    <row r="5" spans="1:29" ht="16" thickBot="1" x14ac:dyDescent="0.25">
      <c r="A5" s="9"/>
      <c r="B5" s="16" t="s">
        <v>26</v>
      </c>
      <c r="C5" s="103">
        <f>Hoofdblad!D6</f>
        <v>0</v>
      </c>
      <c r="F5" s="40">
        <f>SUM($C$3:$C$5)</f>
        <v>4000</v>
      </c>
      <c r="G5" t="s">
        <v>31</v>
      </c>
      <c r="N5" s="40">
        <f>SUM($C$3:$C$5)</f>
        <v>4000</v>
      </c>
      <c r="O5" t="s">
        <v>31</v>
      </c>
      <c r="V5" s="40">
        <f>SUM($C$3:$C$5)</f>
        <v>4000</v>
      </c>
      <c r="W5" t="s">
        <v>31</v>
      </c>
      <c r="X5" s="9"/>
      <c r="Y5" s="9"/>
      <c r="Z5" s="9"/>
      <c r="AA5" s="12"/>
      <c r="AB5" s="9"/>
    </row>
    <row r="6" spans="1:29" ht="16" thickBot="1" x14ac:dyDescent="0.25">
      <c r="B6" s="33" t="s">
        <v>27</v>
      </c>
      <c r="C6" s="104">
        <f>Hoofdblad!D7</f>
        <v>2000</v>
      </c>
      <c r="D6" s="31"/>
      <c r="F6" s="41">
        <f>F3-F5</f>
        <v>21000</v>
      </c>
      <c r="G6" s="11" t="s">
        <v>30</v>
      </c>
      <c r="H6" s="9"/>
      <c r="I6" s="9"/>
      <c r="N6" s="41">
        <f>N3-N5</f>
        <v>46000</v>
      </c>
      <c r="O6" s="11" t="s">
        <v>30</v>
      </c>
      <c r="V6" s="42">
        <f>V3-V5</f>
        <v>71000</v>
      </c>
      <c r="W6" s="11" t="s">
        <v>30</v>
      </c>
    </row>
    <row r="7" spans="1:29" ht="16" thickBot="1" x14ac:dyDescent="0.25">
      <c r="C7" s="53"/>
      <c r="D7" s="31"/>
      <c r="F7" s="22">
        <f>$C$9*F6</f>
        <v>21000</v>
      </c>
      <c r="G7" s="11" t="s">
        <v>74</v>
      </c>
      <c r="H7" s="4"/>
      <c r="I7" s="4"/>
      <c r="J7" s="9"/>
      <c r="K7" s="9"/>
      <c r="L7" s="9"/>
      <c r="M7" s="9"/>
      <c r="N7" s="22">
        <f>$C$9*N6</f>
        <v>46000</v>
      </c>
      <c r="O7" s="11" t="s">
        <v>74</v>
      </c>
      <c r="P7" s="9"/>
      <c r="Q7" s="9"/>
      <c r="R7" s="9"/>
      <c r="S7" s="9"/>
      <c r="T7" s="9"/>
      <c r="U7" s="9"/>
      <c r="V7" s="22">
        <f>$C$9*V6</f>
        <v>71000</v>
      </c>
      <c r="W7" s="11" t="s">
        <v>74</v>
      </c>
      <c r="AA7" s="20"/>
    </row>
    <row r="8" spans="1:29" ht="16" thickBot="1" x14ac:dyDescent="0.25">
      <c r="B8" s="141" t="s">
        <v>78</v>
      </c>
      <c r="C8" s="142"/>
      <c r="D8" s="32"/>
      <c r="F8" s="22">
        <f>IFERROR(PMT($C$10/12,$C$11*12,-F7),0)</f>
        <v>123.96079122695807</v>
      </c>
      <c r="G8" s="11" t="s">
        <v>79</v>
      </c>
      <c r="H8" s="1"/>
      <c r="I8" s="1"/>
      <c r="J8" s="4"/>
      <c r="K8" s="4"/>
      <c r="L8" s="4"/>
      <c r="M8" s="4"/>
      <c r="N8" s="22">
        <f>IFERROR(PMT($C$10/12,$C$11*12,-N7),0)</f>
        <v>271.53316173524149</v>
      </c>
      <c r="O8" s="11" t="s">
        <v>79</v>
      </c>
      <c r="V8" s="22">
        <f>IFERROR(PMT($C$10/12,$C$11*12,-V7),0)</f>
        <v>419.10553224352492</v>
      </c>
      <c r="W8" s="11" t="s">
        <v>79</v>
      </c>
      <c r="AA8" s="22"/>
    </row>
    <row r="9" spans="1:29" ht="18" customHeight="1" x14ac:dyDescent="0.2">
      <c r="B9" s="95" t="s">
        <v>74</v>
      </c>
      <c r="C9" s="105">
        <f>Hoofdblad!D10</f>
        <v>1</v>
      </c>
      <c r="F9" s="22">
        <f>$C$12*F6</f>
        <v>0</v>
      </c>
      <c r="G9" s="11" t="s">
        <v>76</v>
      </c>
      <c r="J9" s="1"/>
      <c r="K9" s="1"/>
      <c r="L9" s="1"/>
      <c r="M9" s="1"/>
      <c r="N9" s="22">
        <f>$C$12*N6</f>
        <v>0</v>
      </c>
      <c r="O9" s="11" t="s">
        <v>76</v>
      </c>
      <c r="P9" s="1"/>
      <c r="Q9" s="1"/>
      <c r="R9" s="1"/>
      <c r="S9" s="1"/>
      <c r="T9" s="1"/>
      <c r="U9" s="1"/>
      <c r="V9" s="22">
        <f>$C$12*V6</f>
        <v>0</v>
      </c>
      <c r="W9" s="11" t="s">
        <v>76</v>
      </c>
      <c r="X9" s="1"/>
      <c r="Y9" s="1"/>
      <c r="Z9" s="1"/>
      <c r="AA9" s="23"/>
      <c r="AB9" s="1"/>
    </row>
    <row r="10" spans="1:29" s="1" customFormat="1" x14ac:dyDescent="0.2">
      <c r="B10" s="96" t="s">
        <v>75</v>
      </c>
      <c r="C10" s="106">
        <f>Hoofdblad!D11</f>
        <v>3.6999999999999998E-2</v>
      </c>
      <c r="D10"/>
      <c r="E10"/>
      <c r="F10" s="22">
        <f>IFERROR(PMT($C$13/12,$C$14*12,-F9),0)</f>
        <v>0</v>
      </c>
      <c r="G10" s="11" t="s">
        <v>80</v>
      </c>
      <c r="H10"/>
      <c r="I10"/>
      <c r="N10" s="22">
        <f>IFERROR(PMT($C$13/12,$C$14*12,-N9),0)</f>
        <v>0</v>
      </c>
      <c r="O10" s="11" t="s">
        <v>80</v>
      </c>
      <c r="V10" s="22">
        <f>IFERROR(PMT($C$13/12,$C$14*12,-V9),0)</f>
        <v>0</v>
      </c>
      <c r="W10" s="11" t="s">
        <v>80</v>
      </c>
    </row>
    <row r="11" spans="1:29" ht="44" customHeight="1" thickBot="1" x14ac:dyDescent="0.25">
      <c r="B11" s="97" t="s">
        <v>81</v>
      </c>
      <c r="C11" s="107">
        <f>Hoofdblad!D12</f>
        <v>20</v>
      </c>
      <c r="J11" s="1"/>
      <c r="K11" s="1"/>
      <c r="L11" s="1"/>
      <c r="M11" s="1"/>
      <c r="N11" s="3"/>
      <c r="P11" s="1"/>
      <c r="Q11" s="1"/>
      <c r="R11" s="1"/>
      <c r="S11" s="1"/>
      <c r="T11" s="1"/>
      <c r="U11" s="1"/>
      <c r="X11" s="1"/>
      <c r="Y11" s="1"/>
      <c r="Z11" s="1"/>
      <c r="AA11" s="5"/>
      <c r="AB11" s="6"/>
      <c r="AC11" s="6"/>
    </row>
    <row r="12" spans="1:29" x14ac:dyDescent="0.2">
      <c r="B12" s="96" t="s">
        <v>76</v>
      </c>
      <c r="C12" s="106">
        <f>Hoofdblad!D13</f>
        <v>0</v>
      </c>
      <c r="F12" s="21">
        <f>F8+F10</f>
        <v>123.96079122695807</v>
      </c>
      <c r="G12" t="s">
        <v>32</v>
      </c>
      <c r="J12" s="1"/>
      <c r="K12" s="1"/>
      <c r="L12" s="1"/>
      <c r="M12" s="1"/>
      <c r="N12" s="21">
        <f>N8+N10</f>
        <v>271.53316173524149</v>
      </c>
      <c r="O12" t="s">
        <v>32</v>
      </c>
      <c r="P12" s="1"/>
      <c r="Q12" s="1"/>
      <c r="R12" s="1"/>
      <c r="S12" s="1"/>
      <c r="T12" s="1"/>
      <c r="U12" s="1"/>
      <c r="V12" s="21">
        <f>V8+V10</f>
        <v>419.10553224352492</v>
      </c>
      <c r="W12" t="s">
        <v>32</v>
      </c>
      <c r="X12" s="1"/>
      <c r="Y12" s="1"/>
      <c r="Z12" s="1"/>
      <c r="AB12" s="3"/>
      <c r="AC12" s="3"/>
    </row>
    <row r="13" spans="1:29" x14ac:dyDescent="0.2">
      <c r="B13" s="96" t="s">
        <v>77</v>
      </c>
      <c r="C13" s="108">
        <f>Hoofdblad!D14</f>
        <v>0</v>
      </c>
      <c r="F13" s="34">
        <f>F12-F4</f>
        <v>88.960791226958065</v>
      </c>
      <c r="G13" s="1" t="s">
        <v>9</v>
      </c>
      <c r="J13" s="1"/>
      <c r="K13" s="1"/>
      <c r="L13" s="1"/>
      <c r="M13" s="1"/>
      <c r="N13" s="34">
        <f>N12-N4</f>
        <v>216.53316173524149</v>
      </c>
      <c r="O13" s="1" t="s">
        <v>9</v>
      </c>
      <c r="P13" s="1"/>
      <c r="Q13" s="1"/>
      <c r="R13" s="1"/>
      <c r="S13" s="1"/>
      <c r="T13" s="1"/>
      <c r="U13" s="1"/>
      <c r="V13" s="34">
        <f>V12-V4</f>
        <v>349.10553224352492</v>
      </c>
      <c r="W13" s="1" t="s">
        <v>9</v>
      </c>
      <c r="X13" s="1"/>
      <c r="Y13" s="1"/>
      <c r="Z13" s="1"/>
      <c r="AB13" s="3"/>
      <c r="AC13" s="3"/>
    </row>
    <row r="14" spans="1:29" ht="16" thickBot="1" x14ac:dyDescent="0.25">
      <c r="B14" s="97" t="s">
        <v>82</v>
      </c>
      <c r="C14" s="107">
        <f>Hoofdblad!D15</f>
        <v>0</v>
      </c>
      <c r="F14" s="34"/>
      <c r="G14" s="1"/>
      <c r="J14" s="1"/>
      <c r="K14" s="1"/>
      <c r="L14" s="1"/>
      <c r="M14" s="1"/>
      <c r="P14" s="1"/>
      <c r="Q14" s="1"/>
      <c r="R14" s="1"/>
      <c r="S14" s="1"/>
      <c r="T14" s="1"/>
      <c r="U14" s="1"/>
      <c r="X14" s="1"/>
      <c r="Y14" s="1"/>
      <c r="Z14" s="1"/>
      <c r="AB14" s="3"/>
      <c r="AC14" s="3"/>
    </row>
    <row r="15" spans="1:29" x14ac:dyDescent="0.2">
      <c r="B15" s="1"/>
      <c r="C15" s="1"/>
      <c r="D15" s="1"/>
      <c r="E15" s="1"/>
      <c r="F15" s="1"/>
      <c r="G15" s="1"/>
      <c r="H15" s="1"/>
      <c r="I15" s="1"/>
      <c r="J15" s="1"/>
      <c r="K15" s="1"/>
      <c r="L15" s="1"/>
      <c r="M15" s="1"/>
      <c r="N15" s="1"/>
      <c r="O15" s="1"/>
      <c r="P15" s="1"/>
      <c r="Q15" s="1"/>
      <c r="R15" s="1"/>
      <c r="S15" s="1"/>
      <c r="T15" s="1"/>
      <c r="U15" s="1"/>
      <c r="V15" s="1"/>
      <c r="W15" s="1"/>
      <c r="X15" s="1"/>
      <c r="Y15" s="1"/>
      <c r="Z15" s="1"/>
      <c r="AB15" s="3"/>
      <c r="AC15" s="3"/>
    </row>
    <row r="16" spans="1:29" s="1" customFormat="1" ht="69" customHeight="1" x14ac:dyDescent="0.2">
      <c r="B16"/>
      <c r="C16"/>
      <c r="D16"/>
      <c r="E16"/>
      <c r="F16" s="35" t="s">
        <v>10</v>
      </c>
      <c r="G16" s="36" t="s">
        <v>28</v>
      </c>
      <c r="H16" s="36" t="s">
        <v>102</v>
      </c>
      <c r="I16" s="36" t="s">
        <v>101</v>
      </c>
      <c r="J16" s="37" t="s">
        <v>29</v>
      </c>
      <c r="K16" s="6"/>
      <c r="L16" s="6"/>
      <c r="M16" s="6"/>
      <c r="N16" s="35" t="s">
        <v>10</v>
      </c>
      <c r="O16" s="36" t="s">
        <v>28</v>
      </c>
      <c r="P16" s="36" t="s">
        <v>102</v>
      </c>
      <c r="Q16" s="36" t="s">
        <v>101</v>
      </c>
      <c r="R16" s="37" t="s">
        <v>29</v>
      </c>
      <c r="S16" s="6"/>
      <c r="T16" s="6"/>
      <c r="U16" s="6"/>
      <c r="V16" s="35" t="s">
        <v>10</v>
      </c>
      <c r="W16" s="36" t="s">
        <v>28</v>
      </c>
      <c r="X16" s="36" t="s">
        <v>102</v>
      </c>
      <c r="Y16" s="36" t="s">
        <v>101</v>
      </c>
      <c r="Z16" s="37" t="s">
        <v>29</v>
      </c>
      <c r="AA16" s="3"/>
      <c r="AB16" s="3"/>
      <c r="AC16" s="3"/>
    </row>
    <row r="17" spans="2:29" x14ac:dyDescent="0.2">
      <c r="D17" s="31"/>
      <c r="E17" s="11" t="s">
        <v>11</v>
      </c>
      <c r="F17" s="22">
        <f>IF(F$8&lt;150,F$8,150)</f>
        <v>123.96079122695807</v>
      </c>
      <c r="G17" s="22">
        <f>F$13-F17</f>
        <v>-35</v>
      </c>
      <c r="H17" s="22" cm="1">
        <f t="array" ref="H17">_xlfn.IFS(G17&lt;=0,0,AND(G17*12&gt;0,G17*12&lt;$C$6),G17*12,G17*12&gt;$C$6,$C$6)</f>
        <v>0</v>
      </c>
      <c r="I17" s="22">
        <f>IF(SUM(H$17:H17)&lt;$C$6,SUM(H$17:H17),$C$6)</f>
        <v>0</v>
      </c>
      <c r="J17" s="43">
        <f>IF(I17&lt;$C$6,0,G17)</f>
        <v>0</v>
      </c>
      <c r="K17" s="3"/>
      <c r="L17" s="3"/>
      <c r="M17" s="11" t="s">
        <v>11</v>
      </c>
      <c r="N17" s="22">
        <f>IF(N$8&lt;150,N$8,150)</f>
        <v>150</v>
      </c>
      <c r="O17" s="22">
        <f>N$13-N17</f>
        <v>66.533161735241492</v>
      </c>
      <c r="P17" s="22" cm="1">
        <f t="array" ref="P17">_xlfn.IFS(O17&lt;=0,0,AND(O17*12&gt;0,O17*12&lt;$C$6),O17*12,O17*12&gt;$C$6,$C$6)</f>
        <v>798.39794082289791</v>
      </c>
      <c r="Q17" s="22">
        <f>IF(SUM(P$17:P17)&lt;$C$6,SUM(P$17:P17),$C$6)</f>
        <v>798.39794082289791</v>
      </c>
      <c r="R17" s="43">
        <f>IF(Q17&lt;$C$6,0,O17)</f>
        <v>0</v>
      </c>
      <c r="S17" s="3"/>
      <c r="T17" s="3"/>
      <c r="U17" s="11" t="s">
        <v>11</v>
      </c>
      <c r="V17" s="22">
        <f>IF(V$8&lt;150,V$8,150)</f>
        <v>150</v>
      </c>
      <c r="W17" s="22">
        <f>V$13-V17</f>
        <v>199.10553224352492</v>
      </c>
      <c r="X17" s="22" cm="1">
        <f t="array" ref="X17">_xlfn.IFS(W17&lt;=0,0,AND(W17*12&gt;0,W17*12&lt;$C$6),W17*12,W17*12&gt;$C$6,$C$6)</f>
        <v>2000</v>
      </c>
      <c r="Y17" s="22">
        <f>IF(SUM(X$17:X17)&lt;$C$6,SUM(X$17:X17),$C$6)</f>
        <v>2000</v>
      </c>
      <c r="Z17" s="43">
        <f>IF(Y17&lt;$C$6,0,W17)</f>
        <v>199.10553224352492</v>
      </c>
      <c r="AB17" s="3"/>
      <c r="AC17" s="3"/>
    </row>
    <row r="18" spans="2:29" x14ac:dyDescent="0.2">
      <c r="D18" s="31"/>
      <c r="E18" s="11" t="s">
        <v>12</v>
      </c>
      <c r="F18" s="22">
        <f>F$17*0.9</f>
        <v>111.56471210426226</v>
      </c>
      <c r="G18" s="22">
        <f t="shared" ref="G18:G26" si="0">F$13-F18</f>
        <v>-22.603920877304191</v>
      </c>
      <c r="H18" s="22" cm="1">
        <f t="array" ref="H18">_xlfn.IFS(G18&lt;=0,0,AND(G18*12&gt;0,G18*12&lt;$C$6),G18*12,G18*12&gt;$C$6,$C$6)</f>
        <v>0</v>
      </c>
      <c r="I18" s="22">
        <f>IF(SUM(H$17:H18)&lt;$C$6,SUM(H$17:H18),$C$6)</f>
        <v>0</v>
      </c>
      <c r="J18" s="43">
        <f t="shared" ref="J18:J26" si="1">IF(I18&lt;$C$6,0,G18)</f>
        <v>0</v>
      </c>
      <c r="K18" s="3"/>
      <c r="L18" s="3"/>
      <c r="M18" s="11" t="s">
        <v>12</v>
      </c>
      <c r="N18" s="22">
        <f>N$17*0.9</f>
        <v>135</v>
      </c>
      <c r="O18" s="22">
        <f t="shared" ref="O18:O26" si="2">N$13-N18</f>
        <v>81.533161735241492</v>
      </c>
      <c r="P18" s="22" cm="1">
        <f t="array" ref="P18">_xlfn.IFS(O18&lt;=0,0,AND(O18*12&gt;0,O18*12&lt;$C$6),O18*12,O18*12&gt;$C$6,$C$6)</f>
        <v>978.39794082289791</v>
      </c>
      <c r="Q18" s="22">
        <f>IF(SUM(P$17:P18)&lt;$C$6,SUM(P$17:P18),$C$6)</f>
        <v>1776.7958816457958</v>
      </c>
      <c r="R18" s="43">
        <f t="shared" ref="R18:R26" si="3">IF(Q18&lt;$C$6,0,O18)</f>
        <v>0</v>
      </c>
      <c r="S18" s="3"/>
      <c r="T18" s="3"/>
      <c r="U18" s="11" t="s">
        <v>12</v>
      </c>
      <c r="V18" s="22">
        <f>V$17*0.9</f>
        <v>135</v>
      </c>
      <c r="W18" s="22">
        <f t="shared" ref="W18:W26" si="4">V$13-V18</f>
        <v>214.10553224352492</v>
      </c>
      <c r="X18" s="22" cm="1">
        <f t="array" ref="X18">_xlfn.IFS(W18&lt;=0,0,AND(W18*12&gt;0,W18*12&lt;$C$6),W18*12,W18*12&gt;$C$6,$C$6)</f>
        <v>2000</v>
      </c>
      <c r="Y18" s="22">
        <f>IF(SUM(X$17:X18)&lt;$C$6,SUM(X$17:X18),$C$6)</f>
        <v>2000</v>
      </c>
      <c r="Z18" s="43">
        <f t="shared" ref="Z18:Z26" si="5">IF(Y18&lt;$C$6,0,W18)</f>
        <v>214.10553224352492</v>
      </c>
      <c r="AB18" s="3"/>
      <c r="AC18" s="3"/>
    </row>
    <row r="19" spans="2:29" x14ac:dyDescent="0.2">
      <c r="D19" s="32"/>
      <c r="E19" s="11" t="s">
        <v>13</v>
      </c>
      <c r="F19" s="22">
        <f>F$17*0.8</f>
        <v>99.168632981566461</v>
      </c>
      <c r="G19" s="22">
        <f t="shared" si="0"/>
        <v>-10.207841754608395</v>
      </c>
      <c r="H19" s="22" cm="1">
        <f t="array" ref="H19">_xlfn.IFS(G19&lt;=0,0,AND(G19*12&gt;0,G19*12&lt;$C$6),G19*12,G19*12&gt;$C$6,$C$6)</f>
        <v>0</v>
      </c>
      <c r="I19" s="22">
        <f>IF(SUM(H$17:H19)&lt;$C$6,SUM(H$17:H19),$C$6)</f>
        <v>0</v>
      </c>
      <c r="J19" s="43">
        <f t="shared" si="1"/>
        <v>0</v>
      </c>
      <c r="K19" s="3"/>
      <c r="L19" s="3"/>
      <c r="M19" s="11" t="s">
        <v>13</v>
      </c>
      <c r="N19" s="22">
        <f>N$17*0.8</f>
        <v>120</v>
      </c>
      <c r="O19" s="22">
        <f t="shared" si="2"/>
        <v>96.533161735241492</v>
      </c>
      <c r="P19" s="22" cm="1">
        <f t="array" ref="P19">_xlfn.IFS(O19&lt;=0,0,AND(O19*12&gt;0,O19*12&lt;$C$6),O19*12,O19*12&gt;$C$6,$C$6)</f>
        <v>1158.3979408228979</v>
      </c>
      <c r="Q19" s="22">
        <f>IF(SUM(P$17:P19)&lt;$C$6,SUM(P$17:P19),$C$6)</f>
        <v>2000</v>
      </c>
      <c r="R19" s="43">
        <f t="shared" si="3"/>
        <v>96.533161735241492</v>
      </c>
      <c r="S19" s="3"/>
      <c r="T19" s="3"/>
      <c r="U19" s="11" t="s">
        <v>13</v>
      </c>
      <c r="V19" s="22">
        <f>V$17*0.8</f>
        <v>120</v>
      </c>
      <c r="W19" s="22">
        <f t="shared" si="4"/>
        <v>229.10553224352492</v>
      </c>
      <c r="X19" s="22" cm="1">
        <f t="array" ref="X19">_xlfn.IFS(W19&lt;=0,0,AND(W19*12&gt;0,W19*12&lt;$C$6),W19*12,W19*12&gt;$C$6,$C$6)</f>
        <v>2000</v>
      </c>
      <c r="Y19" s="22">
        <f>IF(SUM(X$17:X19)&lt;$C$6,SUM(X$17:X19),$C$6)</f>
        <v>2000</v>
      </c>
      <c r="Z19" s="43">
        <f t="shared" si="5"/>
        <v>229.10553224352492</v>
      </c>
      <c r="AB19" s="3"/>
      <c r="AC19" s="3"/>
    </row>
    <row r="20" spans="2:29" x14ac:dyDescent="0.2">
      <c r="E20" s="11" t="s">
        <v>14</v>
      </c>
      <c r="F20" s="22">
        <f>F$17*0.7</f>
        <v>86.772553858870637</v>
      </c>
      <c r="G20" s="22">
        <f t="shared" si="0"/>
        <v>2.1882373680874281</v>
      </c>
      <c r="H20" s="22" cm="1">
        <f t="array" ref="H20">_xlfn.IFS(G20&lt;=0,0,AND(G20*12&gt;0,G20*12&lt;$C$6),G20*12,G20*12&gt;$C$6,$C$6)</f>
        <v>26.258848417049137</v>
      </c>
      <c r="I20" s="22">
        <f>IF(SUM(H$17:H20)&lt;$C$6,SUM(H$17:H20),$C$6)</f>
        <v>26.258848417049137</v>
      </c>
      <c r="J20" s="43">
        <f t="shared" si="1"/>
        <v>0</v>
      </c>
      <c r="K20" s="3"/>
      <c r="L20" s="3"/>
      <c r="M20" s="11" t="s">
        <v>14</v>
      </c>
      <c r="N20" s="22">
        <f>N$17*0.7</f>
        <v>105</v>
      </c>
      <c r="O20" s="22">
        <f t="shared" si="2"/>
        <v>111.53316173524149</v>
      </c>
      <c r="P20" s="22" cm="1">
        <f t="array" ref="P20">_xlfn.IFS(O20&lt;=0,0,AND(O20*12&gt;0,O20*12&lt;$C$6),O20*12,O20*12&gt;$C$6,$C$6)</f>
        <v>1338.3979408228979</v>
      </c>
      <c r="Q20" s="22">
        <f>IF(SUM(P$17:P20)&lt;$C$6,SUM(P$17:P20),$C$6)</f>
        <v>2000</v>
      </c>
      <c r="R20" s="43">
        <f t="shared" si="3"/>
        <v>111.53316173524149</v>
      </c>
      <c r="S20" s="3"/>
      <c r="T20" s="3"/>
      <c r="U20" s="11" t="s">
        <v>14</v>
      </c>
      <c r="V20" s="22">
        <f>V$17*0.7</f>
        <v>105</v>
      </c>
      <c r="W20" s="22">
        <f t="shared" si="4"/>
        <v>244.10553224352492</v>
      </c>
      <c r="X20" s="22" cm="1">
        <f t="array" ref="X20">_xlfn.IFS(W20&lt;=0,0,AND(W20*12&gt;0,W20*12&lt;$C$6),W20*12,W20*12&gt;$C$6,$C$6)</f>
        <v>2000</v>
      </c>
      <c r="Y20" s="22">
        <f>IF(SUM(X$17:X20)&lt;$C$6,SUM(X$17:X20),$C$6)</f>
        <v>2000</v>
      </c>
      <c r="Z20" s="43">
        <f t="shared" si="5"/>
        <v>244.10553224352492</v>
      </c>
      <c r="AB20" s="3"/>
      <c r="AC20" s="3"/>
    </row>
    <row r="21" spans="2:29" x14ac:dyDescent="0.2">
      <c r="B21" s="1"/>
      <c r="C21" s="1"/>
      <c r="D21" s="1"/>
      <c r="E21" s="11" t="s">
        <v>15</v>
      </c>
      <c r="F21" s="22">
        <f>F$17*0.6</f>
        <v>74.376474736174842</v>
      </c>
      <c r="G21" s="22">
        <f t="shared" si="0"/>
        <v>14.584316490783223</v>
      </c>
      <c r="H21" s="22" cm="1">
        <f t="array" ref="H21">_xlfn.IFS(G21&lt;=0,0,AND(G21*12&gt;0,G21*12&lt;$C$6),G21*12,G21*12&gt;$C$6,$C$6)</f>
        <v>175.01179788939868</v>
      </c>
      <c r="I21" s="22">
        <f>IF(SUM(H$17:H21)&lt;$C$6,SUM(H$17:H21),$C$6)</f>
        <v>201.27064630644782</v>
      </c>
      <c r="J21" s="43">
        <f t="shared" si="1"/>
        <v>0</v>
      </c>
      <c r="K21" s="3"/>
      <c r="L21" s="3"/>
      <c r="M21" s="11" t="s">
        <v>15</v>
      </c>
      <c r="N21" s="22">
        <f>N$17*0.6</f>
        <v>90</v>
      </c>
      <c r="O21" s="22">
        <f t="shared" si="2"/>
        <v>126.53316173524149</v>
      </c>
      <c r="P21" s="22" cm="1">
        <f t="array" ref="P21">_xlfn.IFS(O21&lt;=0,0,AND(O21*12&gt;0,O21*12&lt;$C$6),O21*12,O21*12&gt;$C$6,$C$6)</f>
        <v>1518.3979408228979</v>
      </c>
      <c r="Q21" s="22">
        <f>IF(SUM(P$17:P21)&lt;$C$6,SUM(P$17:P21),$C$6)</f>
        <v>2000</v>
      </c>
      <c r="R21" s="43">
        <f t="shared" si="3"/>
        <v>126.53316173524149</v>
      </c>
      <c r="S21" s="3"/>
      <c r="T21" s="3"/>
      <c r="U21" s="11" t="s">
        <v>15</v>
      </c>
      <c r="V21" s="22">
        <f>V$17*0.6</f>
        <v>90</v>
      </c>
      <c r="W21" s="22">
        <f t="shared" si="4"/>
        <v>259.10553224352492</v>
      </c>
      <c r="X21" s="22" cm="1">
        <f t="array" ref="X21">_xlfn.IFS(W21&lt;=0,0,AND(W21*12&gt;0,W21*12&lt;$C$6),W21*12,W21*12&gt;$C$6,$C$6)</f>
        <v>2000</v>
      </c>
      <c r="Y21" s="22">
        <f>IF(SUM(X$17:X21)&lt;$C$6,SUM(X$17:X21),$C$6)</f>
        <v>2000</v>
      </c>
      <c r="Z21" s="43">
        <f t="shared" si="5"/>
        <v>259.10553224352492</v>
      </c>
      <c r="AB21" s="3"/>
      <c r="AC21" s="3"/>
    </row>
    <row r="22" spans="2:29" x14ac:dyDescent="0.2">
      <c r="E22" s="11" t="s">
        <v>16</v>
      </c>
      <c r="F22" s="22">
        <f>F$17*0.5</f>
        <v>61.980395613479033</v>
      </c>
      <c r="G22" s="22">
        <f t="shared" si="0"/>
        <v>26.980395613479033</v>
      </c>
      <c r="H22" s="22" cm="1">
        <f t="array" ref="H22">_xlfn.IFS(G22&lt;=0,0,AND(G22*12&gt;0,G22*12&lt;$C$6),G22*12,G22*12&gt;$C$6,$C$6)</f>
        <v>323.76474736174839</v>
      </c>
      <c r="I22" s="22">
        <f>IF(SUM(H$17:H22)&lt;$C$6,SUM(H$17:H22),$C$6)</f>
        <v>525.03539366819621</v>
      </c>
      <c r="J22" s="43">
        <f t="shared" si="1"/>
        <v>0</v>
      </c>
      <c r="K22" s="3"/>
      <c r="L22" s="3"/>
      <c r="M22" s="11" t="s">
        <v>16</v>
      </c>
      <c r="N22" s="22">
        <f>N$17*0.5</f>
        <v>75</v>
      </c>
      <c r="O22" s="22">
        <f t="shared" si="2"/>
        <v>141.53316173524149</v>
      </c>
      <c r="P22" s="22" cm="1">
        <f t="array" ref="P22">_xlfn.IFS(O22&lt;=0,0,AND(O22*12&gt;0,O22*12&lt;$C$6),O22*12,O22*12&gt;$C$6,$C$6)</f>
        <v>1698.3979408228979</v>
      </c>
      <c r="Q22" s="22">
        <f>IF(SUM(P$17:P22)&lt;$C$6,SUM(P$17:P22),$C$6)</f>
        <v>2000</v>
      </c>
      <c r="R22" s="43">
        <f t="shared" si="3"/>
        <v>141.53316173524149</v>
      </c>
      <c r="S22" s="3"/>
      <c r="T22" s="3"/>
      <c r="U22" s="11" t="s">
        <v>16</v>
      </c>
      <c r="V22" s="22">
        <f>V$17*0.5</f>
        <v>75</v>
      </c>
      <c r="W22" s="22">
        <f t="shared" si="4"/>
        <v>274.10553224352492</v>
      </c>
      <c r="X22" s="22" cm="1">
        <f t="array" ref="X22">_xlfn.IFS(W22&lt;=0,0,AND(W22*12&gt;0,W22*12&lt;$C$6),W22*12,W22*12&gt;$C$6,$C$6)</f>
        <v>2000</v>
      </c>
      <c r="Y22" s="22">
        <f>IF(SUM(X$17:X22)&lt;$C$6,SUM(X$17:X22),$C$6)</f>
        <v>2000</v>
      </c>
      <c r="Z22" s="43">
        <f t="shared" si="5"/>
        <v>274.10553224352492</v>
      </c>
      <c r="AA22" s="12"/>
      <c r="AB22" s="12"/>
      <c r="AC22" s="12"/>
    </row>
    <row r="23" spans="2:29" x14ac:dyDescent="0.2">
      <c r="E23" s="11" t="s">
        <v>17</v>
      </c>
      <c r="F23" s="22">
        <f>F$17*0.4</f>
        <v>49.58431649078323</v>
      </c>
      <c r="G23" s="22">
        <f t="shared" si="0"/>
        <v>39.376474736174835</v>
      </c>
      <c r="H23" s="22" cm="1">
        <f t="array" ref="H23">_xlfn.IFS(G23&lt;=0,0,AND(G23*12&gt;0,G23*12&lt;$C$6),G23*12,G23*12&gt;$C$6,$C$6)</f>
        <v>472.51769683409805</v>
      </c>
      <c r="I23" s="22">
        <f>IF(SUM(H$17:H23)&lt;$C$6,SUM(H$17:H23),$C$6)</f>
        <v>997.55309050229425</v>
      </c>
      <c r="J23" s="43">
        <f t="shared" si="1"/>
        <v>0</v>
      </c>
      <c r="K23" s="3"/>
      <c r="L23" s="3"/>
      <c r="M23" s="11" t="s">
        <v>17</v>
      </c>
      <c r="N23" s="22">
        <f>N$17*0.4</f>
        <v>60</v>
      </c>
      <c r="O23" s="22">
        <f t="shared" si="2"/>
        <v>156.53316173524149</v>
      </c>
      <c r="P23" s="22" cm="1">
        <f t="array" ref="P23">_xlfn.IFS(O23&lt;=0,0,AND(O23*12&gt;0,O23*12&lt;$C$6),O23*12,O23*12&gt;$C$6,$C$6)</f>
        <v>1878.3979408228979</v>
      </c>
      <c r="Q23" s="22">
        <f>IF(SUM(P$17:P23)&lt;$C$6,SUM(P$17:P23),$C$6)</f>
        <v>2000</v>
      </c>
      <c r="R23" s="43">
        <f t="shared" si="3"/>
        <v>156.53316173524149</v>
      </c>
      <c r="S23" s="3"/>
      <c r="T23" s="3"/>
      <c r="U23" s="11" t="s">
        <v>17</v>
      </c>
      <c r="V23" s="22">
        <f>V$17*0.4</f>
        <v>60</v>
      </c>
      <c r="W23" s="22">
        <f t="shared" si="4"/>
        <v>289.10553224352492</v>
      </c>
      <c r="X23" s="22" cm="1">
        <f t="array" ref="X23">_xlfn.IFS(W23&lt;=0,0,AND(W23*12&gt;0,W23*12&lt;$C$6),W23*12,W23*12&gt;$C$6,$C$6)</f>
        <v>2000</v>
      </c>
      <c r="Y23" s="22">
        <f>IF(SUM(X$17:X23)&lt;$C$6,SUM(X$17:X23),$C$6)</f>
        <v>2000</v>
      </c>
      <c r="Z23" s="43">
        <f t="shared" si="5"/>
        <v>289.10553224352492</v>
      </c>
      <c r="AB23" s="3"/>
      <c r="AC23" s="3"/>
    </row>
    <row r="24" spans="2:29" x14ac:dyDescent="0.2">
      <c r="E24" s="11" t="s">
        <v>18</v>
      </c>
      <c r="F24" s="22">
        <f>F$17*0.3</f>
        <v>37.188237368087421</v>
      </c>
      <c r="G24" s="22">
        <f t="shared" si="0"/>
        <v>51.772553858870644</v>
      </c>
      <c r="H24" s="22" cm="1">
        <f t="array" ref="H24">_xlfn.IFS(G24&lt;=0,0,AND(G24*12&gt;0,G24*12&lt;$C$6),G24*12,G24*12&gt;$C$6,$C$6)</f>
        <v>621.2706463064477</v>
      </c>
      <c r="I24" s="22">
        <f>IF(SUM(H$17:H24)&lt;$C$6,SUM(H$17:H24),$C$6)</f>
        <v>1618.8237368087421</v>
      </c>
      <c r="J24" s="43">
        <f t="shared" si="1"/>
        <v>0</v>
      </c>
      <c r="K24" s="3"/>
      <c r="L24" s="3"/>
      <c r="M24" s="11" t="s">
        <v>18</v>
      </c>
      <c r="N24" s="22">
        <f>N$17*0.3</f>
        <v>45</v>
      </c>
      <c r="O24" s="22">
        <f t="shared" si="2"/>
        <v>171.53316173524149</v>
      </c>
      <c r="P24" s="22" cm="1">
        <f t="array" ref="P24">_xlfn.IFS(O24&lt;=0,0,AND(O24*12&gt;0,O24*12&lt;$C$6),O24*12,O24*12&gt;$C$6,$C$6)</f>
        <v>2000</v>
      </c>
      <c r="Q24" s="22">
        <f>IF(SUM(P$17:P24)&lt;$C$6,SUM(P$17:P24),$C$6)</f>
        <v>2000</v>
      </c>
      <c r="R24" s="43">
        <f t="shared" si="3"/>
        <v>171.53316173524149</v>
      </c>
      <c r="S24" s="3"/>
      <c r="T24" s="3"/>
      <c r="U24" s="11" t="s">
        <v>18</v>
      </c>
      <c r="V24" s="22">
        <f>V$17*0.3</f>
        <v>45</v>
      </c>
      <c r="W24" s="22">
        <f t="shared" si="4"/>
        <v>304.10553224352492</v>
      </c>
      <c r="X24" s="22" cm="1">
        <f t="array" ref="X24">_xlfn.IFS(W24&lt;=0,0,AND(W24*12&gt;0,W24*12&lt;$C$6),W24*12,W24*12&gt;$C$6,$C$6)</f>
        <v>2000</v>
      </c>
      <c r="Y24" s="22">
        <f>IF(SUM(X$17:X24)&lt;$C$6,SUM(X$17:X24),$C$6)</f>
        <v>2000</v>
      </c>
      <c r="Z24" s="43">
        <f t="shared" si="5"/>
        <v>304.10553224352492</v>
      </c>
      <c r="AB24" s="24"/>
      <c r="AC24" s="3"/>
    </row>
    <row r="25" spans="2:29" x14ac:dyDescent="0.2">
      <c r="E25" s="11" t="s">
        <v>19</v>
      </c>
      <c r="F25" s="22">
        <f>F$17*0.2</f>
        <v>24.792158245391615</v>
      </c>
      <c r="G25" s="22">
        <f t="shared" si="0"/>
        <v>64.168632981566446</v>
      </c>
      <c r="H25" s="22" cm="1">
        <f t="array" ref="H25">_xlfn.IFS(G25&lt;=0,0,AND(G25*12&gt;0,G25*12&lt;$C$6),G25*12,G25*12&gt;$C$6,$C$6)</f>
        <v>770.02359577879736</v>
      </c>
      <c r="I25" s="22">
        <f>IF(SUM(H$17:H25)&lt;$C$6,SUM(H$17:H25),$C$6)</f>
        <v>2000</v>
      </c>
      <c r="J25" s="43">
        <f t="shared" si="1"/>
        <v>64.168632981566446</v>
      </c>
      <c r="K25" s="3"/>
      <c r="L25" s="3"/>
      <c r="M25" s="11" t="s">
        <v>19</v>
      </c>
      <c r="N25" s="22">
        <f>N$17*0.2</f>
        <v>30</v>
      </c>
      <c r="O25" s="22">
        <f t="shared" si="2"/>
        <v>186.53316173524149</v>
      </c>
      <c r="P25" s="22" cm="1">
        <f t="array" ref="P25">_xlfn.IFS(O25&lt;=0,0,AND(O25*12&gt;0,O25*12&lt;$C$6),O25*12,O25*12&gt;$C$6,$C$6)</f>
        <v>2000</v>
      </c>
      <c r="Q25" s="22">
        <f>IF(SUM(P$17:P25)&lt;$C$6,SUM(P$17:P25),$C$6)</f>
        <v>2000</v>
      </c>
      <c r="R25" s="43">
        <f t="shared" si="3"/>
        <v>186.53316173524149</v>
      </c>
      <c r="S25" s="3"/>
      <c r="T25" s="3"/>
      <c r="U25" s="11" t="s">
        <v>19</v>
      </c>
      <c r="V25" s="22">
        <f>V$17*0.2</f>
        <v>30</v>
      </c>
      <c r="W25" s="22">
        <f t="shared" si="4"/>
        <v>319.10553224352492</v>
      </c>
      <c r="X25" s="22" cm="1">
        <f t="array" ref="X25">_xlfn.IFS(W25&lt;=0,0,AND(W25*12&gt;0,W25*12&lt;$C$6),W25*12,W25*12&gt;$C$6,$C$6)</f>
        <v>2000</v>
      </c>
      <c r="Y25" s="22">
        <f>IF(SUM(X$17:X25)&lt;$C$6,SUM(X$17:X25),$C$6)</f>
        <v>2000</v>
      </c>
      <c r="Z25" s="43">
        <f t="shared" si="5"/>
        <v>319.10553224352492</v>
      </c>
    </row>
    <row r="26" spans="2:29" x14ac:dyDescent="0.2">
      <c r="E26" s="11" t="s">
        <v>20</v>
      </c>
      <c r="F26" s="22">
        <f>F$17*0.1</f>
        <v>12.396079122695808</v>
      </c>
      <c r="G26" s="22">
        <f t="shared" si="0"/>
        <v>76.564712104262256</v>
      </c>
      <c r="H26" s="22" cm="1">
        <f t="array" ref="H26">_xlfn.IFS(G26&lt;=0,0,AND(G26*12&gt;0,G26*12&lt;$C$6),G26*12,G26*12&gt;$C$6,$C$6)</f>
        <v>918.77654525114713</v>
      </c>
      <c r="I26" s="22">
        <f>IF(SUM(H$17:H26)&lt;$C$6,SUM(H$17:H26),$C$6)</f>
        <v>2000</v>
      </c>
      <c r="J26" s="43">
        <f t="shared" si="1"/>
        <v>76.564712104262256</v>
      </c>
      <c r="K26" s="3"/>
      <c r="L26" s="3"/>
      <c r="M26" s="11" t="s">
        <v>20</v>
      </c>
      <c r="N26" s="22">
        <f>N$17*0.1</f>
        <v>15</v>
      </c>
      <c r="O26" s="22">
        <f t="shared" si="2"/>
        <v>201.53316173524149</v>
      </c>
      <c r="P26" s="22" cm="1">
        <f t="array" ref="P26">_xlfn.IFS(O26&lt;=0,0,AND(O26*12&gt;0,O26*12&lt;$C$6),O26*12,O26*12&gt;$C$6,$C$6)</f>
        <v>2000</v>
      </c>
      <c r="Q26" s="22">
        <f>IF(SUM(P$17:P26)&lt;$C$6,SUM(P$17:P26),$C$6)</f>
        <v>2000</v>
      </c>
      <c r="R26" s="43">
        <f t="shared" si="3"/>
        <v>201.53316173524149</v>
      </c>
      <c r="S26" s="3"/>
      <c r="T26" s="3"/>
      <c r="U26" s="11" t="s">
        <v>20</v>
      </c>
      <c r="V26" s="22">
        <f>V$17*0.1</f>
        <v>15</v>
      </c>
      <c r="W26" s="22">
        <f t="shared" si="4"/>
        <v>334.10553224352492</v>
      </c>
      <c r="X26" s="22" cm="1">
        <f t="array" ref="X26">_xlfn.IFS(W26&lt;=0,0,AND(W26*12&gt;0,W26*12&lt;$C$6),W26*12,W26*12&gt;$C$6,$C$6)</f>
        <v>2000</v>
      </c>
      <c r="Y26" s="22">
        <f>IF(SUM(X$17:X26)&lt;$C$6,SUM(X$17:X26),$C$6)</f>
        <v>2000</v>
      </c>
      <c r="Z26" s="43">
        <f t="shared" si="5"/>
        <v>334.10553224352492</v>
      </c>
    </row>
    <row r="27" spans="2:29" x14ac:dyDescent="0.2">
      <c r="E27" s="9" t="s">
        <v>21</v>
      </c>
      <c r="F27" s="44">
        <f>SUM(F17:F26)*12</f>
        <v>8181.4122209792331</v>
      </c>
      <c r="G27" s="44"/>
      <c r="I27" s="44">
        <f>I26</f>
        <v>2000</v>
      </c>
      <c r="J27" s="44">
        <f>SUM(J17:J26)*12</f>
        <v>1688.8001410299446</v>
      </c>
      <c r="K27" s="12"/>
      <c r="L27" s="12"/>
      <c r="M27" s="12"/>
      <c r="N27" s="44">
        <f>SUM(N17:N26)*12</f>
        <v>9900</v>
      </c>
      <c r="O27" s="44"/>
      <c r="Q27" s="44">
        <f>Q26</f>
        <v>2000</v>
      </c>
      <c r="R27" s="44">
        <f>SUM(R17:R26)*12</f>
        <v>14307.183526583183</v>
      </c>
      <c r="S27" s="12"/>
      <c r="T27" s="12"/>
      <c r="U27" s="12"/>
      <c r="V27" s="44">
        <f>SUM(V17:V26)*12</f>
        <v>9900</v>
      </c>
      <c r="W27" s="44"/>
      <c r="Y27" s="44">
        <f>Y26</f>
        <v>2000</v>
      </c>
      <c r="Z27" s="44">
        <f>SUM(Z17:Z26)*12</f>
        <v>31992.66386922299</v>
      </c>
      <c r="AB27" s="4"/>
      <c r="AC27" s="2"/>
    </row>
    <row r="28" spans="2:29" ht="16" thickBot="1" x14ac:dyDescent="0.25">
      <c r="G28" s="13"/>
      <c r="H28" s="3"/>
      <c r="I28" s="3"/>
      <c r="J28" s="3"/>
      <c r="K28" s="3"/>
      <c r="L28" s="3"/>
      <c r="M28" s="3"/>
      <c r="N28" s="3"/>
      <c r="O28" s="13"/>
      <c r="P28" s="3"/>
      <c r="Q28" s="3"/>
      <c r="R28" s="3"/>
      <c r="S28" s="3"/>
      <c r="T28" s="3"/>
      <c r="U28" s="3"/>
      <c r="W28" s="13"/>
      <c r="X28" s="3"/>
      <c r="Y28" s="3"/>
      <c r="Z28" s="3"/>
    </row>
    <row r="29" spans="2:29" ht="16" thickBot="1" x14ac:dyDescent="0.25">
      <c r="H29" s="17" t="s">
        <v>54</v>
      </c>
      <c r="I29" s="125"/>
      <c r="J29" s="45">
        <f>J27</f>
        <v>1688.8001410299446</v>
      </c>
      <c r="K29" s="3"/>
      <c r="L29" s="3"/>
      <c r="N29" s="3"/>
      <c r="P29" s="17" t="s">
        <v>54</v>
      </c>
      <c r="Q29" s="125"/>
      <c r="R29" s="45">
        <f>R27</f>
        <v>14307.183526583183</v>
      </c>
      <c r="S29" s="3"/>
      <c r="T29" s="3"/>
      <c r="X29" s="17" t="s">
        <v>54</v>
      </c>
      <c r="Y29" s="125"/>
      <c r="Z29" s="45">
        <f>Z27</f>
        <v>31992.66386922299</v>
      </c>
    </row>
    <row r="30" spans="2:29" x14ac:dyDescent="0.2">
      <c r="F30" s="133"/>
      <c r="G30" s="133"/>
      <c r="H30" s="133"/>
      <c r="I30" s="133"/>
      <c r="J30" s="133"/>
      <c r="L30" s="22"/>
      <c r="N30" s="133"/>
      <c r="O30" s="133"/>
      <c r="P30" s="133"/>
      <c r="Q30" s="133"/>
      <c r="R30" s="133"/>
    </row>
    <row r="31" spans="2:29" x14ac:dyDescent="0.2">
      <c r="F31"/>
      <c r="G31" s="3"/>
      <c r="O31" s="3"/>
    </row>
    <row r="32" spans="2:29" x14ac:dyDescent="0.2">
      <c r="F32" s="50"/>
      <c r="G32" s="50"/>
      <c r="H32" s="50"/>
      <c r="I32" s="50"/>
      <c r="J32" s="50"/>
      <c r="K32" s="3"/>
      <c r="N32" s="50"/>
      <c r="O32" s="50"/>
      <c r="P32" s="50"/>
      <c r="Q32" s="50"/>
      <c r="R32" s="50"/>
    </row>
    <row r="33" spans="5:18" x14ac:dyDescent="0.2">
      <c r="E33" s="52"/>
      <c r="F33" s="51"/>
      <c r="G33" s="51"/>
      <c r="H33" s="51"/>
      <c r="I33" s="51"/>
      <c r="J33" s="51"/>
      <c r="K33" s="3"/>
      <c r="M33" s="39"/>
      <c r="N33" s="51"/>
      <c r="O33" s="51"/>
      <c r="P33" s="51"/>
      <c r="Q33" s="51"/>
      <c r="R33" s="51"/>
    </row>
    <row r="34" spans="5:18" x14ac:dyDescent="0.2">
      <c r="E34" s="52"/>
      <c r="F34" s="51"/>
      <c r="G34" s="51"/>
      <c r="H34" s="51"/>
      <c r="I34" s="51"/>
      <c r="J34" s="51"/>
      <c r="K34" s="3"/>
      <c r="M34" s="39"/>
      <c r="N34" s="51"/>
      <c r="O34" s="51"/>
      <c r="P34" s="51"/>
      <c r="Q34" s="51"/>
      <c r="R34" s="51"/>
    </row>
    <row r="35" spans="5:18" x14ac:dyDescent="0.2">
      <c r="E35" s="52"/>
      <c r="F35" s="51"/>
      <c r="G35" s="51"/>
      <c r="H35" s="51"/>
      <c r="I35" s="51"/>
      <c r="J35" s="51"/>
      <c r="M35" s="39"/>
      <c r="N35" s="51"/>
      <c r="O35" s="51"/>
      <c r="P35" s="51"/>
      <c r="Q35" s="51"/>
      <c r="R35" s="51"/>
    </row>
    <row r="36" spans="5:18" x14ac:dyDescent="0.2">
      <c r="E36" s="39"/>
      <c r="F36"/>
      <c r="G36" s="3"/>
      <c r="H36" s="3"/>
      <c r="I36" s="3"/>
      <c r="M36" s="39"/>
      <c r="O36" s="3"/>
      <c r="P36" s="3"/>
      <c r="Q36" s="3"/>
    </row>
    <row r="37" spans="5:18" x14ac:dyDescent="0.2">
      <c r="F37"/>
      <c r="G37" s="3"/>
      <c r="O37" s="3"/>
    </row>
    <row r="38" spans="5:18" x14ac:dyDescent="0.2">
      <c r="F38"/>
      <c r="G38" s="3"/>
      <c r="O38" s="3"/>
    </row>
    <row r="39" spans="5:18" x14ac:dyDescent="0.2">
      <c r="F39" s="133"/>
      <c r="G39" s="133"/>
      <c r="H39" s="133"/>
      <c r="I39" s="133"/>
      <c r="J39" s="133"/>
      <c r="N39" s="133"/>
      <c r="O39" s="133"/>
      <c r="P39" s="133"/>
      <c r="Q39" s="133"/>
      <c r="R39" s="133"/>
    </row>
    <row r="40" spans="5:18" x14ac:dyDescent="0.2">
      <c r="F40"/>
      <c r="G40" s="3"/>
      <c r="O40" s="3"/>
    </row>
    <row r="41" spans="5:18" x14ac:dyDescent="0.2">
      <c r="F41" s="50"/>
      <c r="G41" s="50"/>
      <c r="H41" s="50"/>
      <c r="I41" s="50"/>
      <c r="J41" s="50"/>
      <c r="N41" s="50"/>
      <c r="O41" s="50"/>
      <c r="P41" s="50"/>
      <c r="Q41" s="50"/>
      <c r="R41" s="50"/>
    </row>
    <row r="42" spans="5:18" x14ac:dyDescent="0.2">
      <c r="E42" s="52"/>
      <c r="F42" s="51"/>
      <c r="G42" s="51"/>
      <c r="H42" s="51"/>
      <c r="I42" s="51"/>
      <c r="J42" s="51"/>
      <c r="M42" s="39"/>
      <c r="N42" s="51"/>
      <c r="O42" s="51"/>
      <c r="P42" s="51"/>
      <c r="Q42" s="51"/>
      <c r="R42" s="51"/>
    </row>
    <row r="43" spans="5:18" x14ac:dyDescent="0.2">
      <c r="E43" s="52"/>
      <c r="F43" s="51"/>
      <c r="G43" s="51"/>
      <c r="H43" s="51"/>
      <c r="I43" s="51"/>
      <c r="J43" s="51"/>
      <c r="M43" s="39"/>
      <c r="N43" s="51"/>
      <c r="O43" s="51"/>
      <c r="P43" s="51"/>
      <c r="Q43" s="51"/>
      <c r="R43" s="51"/>
    </row>
    <row r="44" spans="5:18" x14ac:dyDescent="0.2">
      <c r="E44" s="52"/>
      <c r="F44" s="51"/>
      <c r="G44" s="51"/>
      <c r="H44" s="51"/>
      <c r="I44" s="51"/>
      <c r="J44" s="51"/>
      <c r="M44" s="39"/>
      <c r="N44" s="51"/>
      <c r="O44" s="51"/>
      <c r="P44" s="51"/>
      <c r="Q44" s="51"/>
      <c r="R44" s="51"/>
    </row>
    <row r="45" spans="5:18" x14ac:dyDescent="0.2">
      <c r="F45"/>
      <c r="G45" s="3"/>
    </row>
  </sheetData>
  <mergeCells count="9">
    <mergeCell ref="B8:C8"/>
    <mergeCell ref="F30:J30"/>
    <mergeCell ref="N30:R30"/>
    <mergeCell ref="F39:J39"/>
    <mergeCell ref="N39:R39"/>
    <mergeCell ref="AA2:AB2"/>
    <mergeCell ref="N2:R2"/>
    <mergeCell ref="F2:J2"/>
    <mergeCell ref="V2:Z2"/>
  </mergeCells>
  <conditionalFormatting sqref="H17:I26 P17:Q26 X17:Y26">
    <cfRule type="cellIs" dxfId="27" priority="18" operator="equal">
      <formula>$C$6</formula>
    </cfRule>
  </conditionalFormatting>
  <conditionalFormatting sqref="H17:L26">
    <cfRule type="cellIs" dxfId="26" priority="17" operator="equal">
      <formula>6500</formula>
    </cfRule>
  </conditionalFormatting>
  <conditionalFormatting sqref="J29:L29 R29:T29">
    <cfRule type="cellIs" dxfId="25" priority="11" operator="lessThan">
      <formula>0</formula>
    </cfRule>
    <cfRule type="cellIs" dxfId="24" priority="12" operator="greaterThan">
      <formula>0</formula>
    </cfRule>
  </conditionalFormatting>
  <conditionalFormatting sqref="P17:T26">
    <cfRule type="cellIs" dxfId="23" priority="4" operator="equal">
      <formula>6500</formula>
    </cfRule>
  </conditionalFormatting>
  <conditionalFormatting sqref="X17:Z26">
    <cfRule type="cellIs" dxfId="22" priority="1" operator="equal">
      <formula>6500</formula>
    </cfRule>
  </conditionalFormatting>
  <conditionalFormatting sqref="Z29">
    <cfRule type="cellIs" dxfId="21" priority="2" operator="lessThan">
      <formula>0</formula>
    </cfRule>
    <cfRule type="cellIs" dxfId="20" priority="3" operator="greaterThan">
      <formula>0</formula>
    </cfRule>
  </conditionalFormatting>
  <conditionalFormatting sqref="AC12:AC21">
    <cfRule type="cellIs" dxfId="19" priority="32" operator="equal">
      <formula>6500</formula>
    </cfRule>
  </conditionalFormatting>
  <conditionalFormatting sqref="AC24">
    <cfRule type="cellIs" dxfId="18" priority="26" operator="lessThan">
      <formula>0</formula>
    </cfRule>
    <cfRule type="cellIs" dxfId="17" priority="27" operator="greaterThan">
      <formula>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E38EF-FA54-DF49-8D7B-DE5D6EE6A8DF}">
  <dimension ref="A1:X50"/>
  <sheetViews>
    <sheetView zoomScale="125" workbookViewId="0">
      <selection activeCell="R19" sqref="R19"/>
    </sheetView>
  </sheetViews>
  <sheetFormatPr baseColWidth="10"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8" width="12.5" customWidth="1"/>
    <col min="9" max="9" width="15.6640625" customWidth="1"/>
    <col min="10" max="10" width="10.33203125" customWidth="1"/>
    <col min="11" max="11" width="9.1640625" customWidth="1"/>
    <col min="12" max="12" width="13.1640625" customWidth="1"/>
    <col min="13" max="14" width="16.5" customWidth="1"/>
    <col min="15" max="15" width="11.5" customWidth="1"/>
    <col min="16" max="16" width="13.6640625" customWidth="1"/>
    <col min="17" max="17" width="8.1640625" customWidth="1"/>
    <col min="18" max="18" width="8.83203125" customWidth="1"/>
    <col min="19" max="19" width="9.5" customWidth="1"/>
    <col min="20" max="20" width="21.33203125" style="3" customWidth="1"/>
    <col min="21" max="21" width="20.5" customWidth="1"/>
    <col min="22" max="22" width="12.33203125" customWidth="1"/>
    <col min="23" max="23" width="14.5" customWidth="1"/>
    <col min="24" max="24" width="18.1640625" style="3" customWidth="1"/>
  </cols>
  <sheetData>
    <row r="1" spans="1:24" ht="24" x14ac:dyDescent="0.3">
      <c r="F1" s="7"/>
      <c r="N1" s="8"/>
    </row>
    <row r="2" spans="1:24" ht="16" thickBot="1" x14ac:dyDescent="0.25">
      <c r="B2" s="9"/>
      <c r="M2" s="3"/>
    </row>
    <row r="3" spans="1:24" ht="16" thickBot="1" x14ac:dyDescent="0.25">
      <c r="B3" s="18" t="s">
        <v>23</v>
      </c>
      <c r="C3" s="19"/>
      <c r="D3" s="29"/>
      <c r="F3" s="150" t="s">
        <v>3</v>
      </c>
      <c r="G3" s="150"/>
      <c r="H3" s="150"/>
      <c r="I3" s="150"/>
      <c r="M3" s="150" t="s">
        <v>4</v>
      </c>
      <c r="N3" s="150"/>
      <c r="O3" s="150"/>
      <c r="P3" s="150"/>
      <c r="T3" s="150" t="s">
        <v>5</v>
      </c>
      <c r="U3" s="150"/>
      <c r="V3" s="150"/>
      <c r="W3" s="150"/>
      <c r="X3"/>
    </row>
    <row r="4" spans="1:24" x14ac:dyDescent="0.2">
      <c r="B4" s="15" t="s">
        <v>24</v>
      </c>
      <c r="C4" s="101">
        <f>Hoofdblad!D4</f>
        <v>1500</v>
      </c>
      <c r="D4" s="30"/>
      <c r="F4" s="41">
        <f>Hoofdblad!G4</f>
        <v>25000</v>
      </c>
      <c r="G4" s="11" t="s">
        <v>6</v>
      </c>
      <c r="H4" s="11"/>
      <c r="I4" s="11"/>
      <c r="J4" s="11"/>
      <c r="K4" s="11"/>
      <c r="L4" s="11"/>
      <c r="M4" s="41">
        <f>Hoofdblad!G5</f>
        <v>50000</v>
      </c>
      <c r="N4" s="11" t="s">
        <v>6</v>
      </c>
      <c r="O4" s="11"/>
      <c r="P4" s="11"/>
      <c r="Q4" s="11"/>
      <c r="R4" s="11"/>
      <c r="S4" s="11"/>
      <c r="T4" s="42">
        <f>Hoofdblad!G6</f>
        <v>75000</v>
      </c>
      <c r="U4" s="11" t="s">
        <v>7</v>
      </c>
      <c r="V4" s="11"/>
      <c r="W4" s="11"/>
      <c r="X4" s="10"/>
    </row>
    <row r="5" spans="1:24" x14ac:dyDescent="0.2">
      <c r="B5" s="15" t="s">
        <v>25</v>
      </c>
      <c r="C5" s="102">
        <f>Hoofdblad!D5</f>
        <v>2500</v>
      </c>
      <c r="F5" s="58">
        <f>Hoofdblad!H4</f>
        <v>35</v>
      </c>
      <c r="G5" s="39" t="s">
        <v>8</v>
      </c>
      <c r="H5" s="39"/>
      <c r="I5" s="39"/>
      <c r="J5" s="39"/>
      <c r="K5" s="39"/>
      <c r="L5" s="39"/>
      <c r="M5" s="59">
        <f>Hoofdblad!H5</f>
        <v>55</v>
      </c>
      <c r="N5" s="39" t="s">
        <v>8</v>
      </c>
      <c r="O5" s="39"/>
      <c r="P5" s="39"/>
      <c r="Q5" s="39"/>
      <c r="R5" s="39"/>
      <c r="S5" s="39"/>
      <c r="T5" s="60">
        <f>Hoofdblad!H6</f>
        <v>70</v>
      </c>
      <c r="U5" t="s">
        <v>8</v>
      </c>
    </row>
    <row r="6" spans="1:24" ht="16" thickBot="1" x14ac:dyDescent="0.25">
      <c r="A6" s="9"/>
      <c r="B6" s="16" t="s">
        <v>26</v>
      </c>
      <c r="C6" s="103">
        <f>Hoofdblad!D6</f>
        <v>0</v>
      </c>
      <c r="F6" s="40">
        <f>SUM($C$4:$C$6)</f>
        <v>4000</v>
      </c>
      <c r="G6" t="s">
        <v>31</v>
      </c>
      <c r="M6" s="40">
        <f>SUM($C$4:$C$6)</f>
        <v>4000</v>
      </c>
      <c r="N6" t="s">
        <v>31</v>
      </c>
      <c r="T6" s="40">
        <f>SUM($C$4:$C$6)</f>
        <v>4000</v>
      </c>
      <c r="U6" t="s">
        <v>31</v>
      </c>
      <c r="V6" s="9"/>
      <c r="W6" s="9"/>
      <c r="X6" s="12"/>
    </row>
    <row r="7" spans="1:24" ht="16" thickBot="1" x14ac:dyDescent="0.25">
      <c r="B7" s="33" t="s">
        <v>27</v>
      </c>
      <c r="C7" s="104"/>
      <c r="D7" s="31"/>
      <c r="F7" s="41">
        <f>F4-F6</f>
        <v>21000</v>
      </c>
      <c r="G7" s="11" t="s">
        <v>30</v>
      </c>
      <c r="H7" s="9"/>
      <c r="M7" s="41">
        <f>M4-M6</f>
        <v>46000</v>
      </c>
      <c r="N7" s="11" t="s">
        <v>30</v>
      </c>
      <c r="T7" s="42">
        <f>T4-T6</f>
        <v>71000</v>
      </c>
      <c r="U7" s="11" t="s">
        <v>30</v>
      </c>
    </row>
    <row r="8" spans="1:24" ht="16" thickBot="1" x14ac:dyDescent="0.25">
      <c r="C8" s="53"/>
      <c r="D8" s="31"/>
      <c r="F8" s="22">
        <f>$C$10*F7</f>
        <v>21000</v>
      </c>
      <c r="G8" s="11" t="s">
        <v>74</v>
      </c>
      <c r="H8" s="4"/>
      <c r="I8" s="9"/>
      <c r="J8" s="9"/>
      <c r="K8" s="9"/>
      <c r="L8" s="9"/>
      <c r="M8" s="22">
        <f>$C$10*M7</f>
        <v>46000</v>
      </c>
      <c r="N8" s="11" t="s">
        <v>74</v>
      </c>
      <c r="O8" s="9"/>
      <c r="P8" s="9"/>
      <c r="Q8" s="9"/>
      <c r="R8" s="9"/>
      <c r="S8" s="9"/>
      <c r="T8" s="22">
        <f>$C$10*T7</f>
        <v>71000</v>
      </c>
      <c r="U8" s="11" t="s">
        <v>74</v>
      </c>
      <c r="X8" s="20"/>
    </row>
    <row r="9" spans="1:24" ht="16" thickBot="1" x14ac:dyDescent="0.25">
      <c r="B9" s="141" t="s">
        <v>78</v>
      </c>
      <c r="C9" s="142"/>
      <c r="D9" s="32"/>
      <c r="F9" s="22">
        <f>IFERROR(PMT($C$11/12,$C$12*12,-F8),0)</f>
        <v>123.96079122695807</v>
      </c>
      <c r="G9" s="11" t="s">
        <v>79</v>
      </c>
      <c r="H9" s="1"/>
      <c r="I9" s="4"/>
      <c r="J9" s="4"/>
      <c r="K9" s="4"/>
      <c r="L9" s="4"/>
      <c r="M9" s="22">
        <f>IFERROR(PMT($C$11/12,$C$12*12,-M8),0)</f>
        <v>271.53316173524149</v>
      </c>
      <c r="N9" s="11" t="s">
        <v>79</v>
      </c>
      <c r="T9" s="22">
        <f>IFERROR(PMT($C$11/12,$C$12*12,-T8),0)</f>
        <v>419.10553224352492</v>
      </c>
      <c r="U9" s="11" t="s">
        <v>79</v>
      </c>
      <c r="X9" s="22"/>
    </row>
    <row r="10" spans="1:24" x14ac:dyDescent="0.2">
      <c r="B10" s="95" t="s">
        <v>74</v>
      </c>
      <c r="C10" s="105">
        <f>Hoofdblad!D10</f>
        <v>1</v>
      </c>
      <c r="D10" s="32"/>
      <c r="F10" s="22">
        <f>$C$13*F7</f>
        <v>0</v>
      </c>
      <c r="G10" s="11" t="s">
        <v>76</v>
      </c>
      <c r="H10" s="1"/>
      <c r="I10" s="4"/>
      <c r="J10" s="4"/>
      <c r="K10" s="4"/>
      <c r="L10" s="4"/>
      <c r="M10" s="22">
        <f>$C$13*M7</f>
        <v>0</v>
      </c>
      <c r="N10" s="11" t="s">
        <v>76</v>
      </c>
      <c r="O10" s="1"/>
      <c r="P10" s="1"/>
      <c r="Q10" s="1"/>
      <c r="R10" s="1"/>
      <c r="S10" s="1"/>
      <c r="T10" s="22">
        <f>$C$13*T7</f>
        <v>0</v>
      </c>
      <c r="U10" s="11" t="s">
        <v>76</v>
      </c>
      <c r="X10" s="22"/>
    </row>
    <row r="11" spans="1:24" x14ac:dyDescent="0.2">
      <c r="B11" s="96" t="s">
        <v>75</v>
      </c>
      <c r="C11" s="106">
        <f>Hoofdblad!D11</f>
        <v>3.6999999999999998E-2</v>
      </c>
      <c r="D11" s="32"/>
      <c r="F11" s="22">
        <f>IFERROR(PMT($C$14/12,$C$15*12,-F10),0)</f>
        <v>0</v>
      </c>
      <c r="G11" s="11" t="s">
        <v>80</v>
      </c>
      <c r="H11" s="1"/>
      <c r="I11" s="4"/>
      <c r="J11" s="4"/>
      <c r="K11" s="4"/>
      <c r="L11" s="4"/>
      <c r="M11" s="22">
        <f>IFERROR(PMT($C$14/12,$C$15*12,-M10),0)</f>
        <v>0</v>
      </c>
      <c r="N11" s="11" t="s">
        <v>80</v>
      </c>
      <c r="O11" s="1"/>
      <c r="P11" s="1"/>
      <c r="Q11" s="1"/>
      <c r="R11" s="1"/>
      <c r="S11" s="1"/>
      <c r="T11" s="22">
        <f>IFERROR(PMT($C$14/12,$C$15*12,-T10),0)</f>
        <v>0</v>
      </c>
      <c r="U11" s="11" t="s">
        <v>80</v>
      </c>
      <c r="X11" s="22"/>
    </row>
    <row r="12" spans="1:24" ht="16" thickBot="1" x14ac:dyDescent="0.25">
      <c r="B12" s="97" t="s">
        <v>81</v>
      </c>
      <c r="C12" s="107">
        <f>Hoofdblad!D12</f>
        <v>20</v>
      </c>
      <c r="D12" s="32"/>
      <c r="H12" s="1"/>
      <c r="I12" s="4"/>
      <c r="J12" s="4"/>
      <c r="K12" s="4"/>
      <c r="L12" s="4"/>
      <c r="M12" s="3"/>
      <c r="O12" s="1"/>
      <c r="P12" s="1"/>
      <c r="Q12" s="1"/>
      <c r="R12" s="1"/>
      <c r="S12" s="1"/>
      <c r="X12" s="22"/>
    </row>
    <row r="13" spans="1:24" x14ac:dyDescent="0.2">
      <c r="B13" s="96" t="s">
        <v>76</v>
      </c>
      <c r="C13" s="106">
        <f>Hoofdblad!D13</f>
        <v>0</v>
      </c>
      <c r="D13" s="32"/>
      <c r="F13" s="21">
        <f>F9+F11</f>
        <v>123.96079122695807</v>
      </c>
      <c r="G13" t="s">
        <v>32</v>
      </c>
      <c r="H13" s="1"/>
      <c r="I13" s="4"/>
      <c r="J13" s="4"/>
      <c r="K13" s="4"/>
      <c r="L13" s="4"/>
      <c r="M13" s="21">
        <f>M9+M11</f>
        <v>271.53316173524149</v>
      </c>
      <c r="N13" t="s">
        <v>32</v>
      </c>
      <c r="O13" s="1"/>
      <c r="P13" s="1"/>
      <c r="Q13" s="1"/>
      <c r="R13" s="1"/>
      <c r="S13" s="1"/>
      <c r="T13" s="21">
        <f>T9+T11</f>
        <v>419.10553224352492</v>
      </c>
      <c r="U13" t="s">
        <v>32</v>
      </c>
      <c r="X13" s="22"/>
    </row>
    <row r="14" spans="1:24" x14ac:dyDescent="0.2">
      <c r="B14" s="96" t="s">
        <v>77</v>
      </c>
      <c r="C14" s="108">
        <f>Hoofdblad!D14</f>
        <v>0</v>
      </c>
      <c r="F14" s="34">
        <f>F13-F5</f>
        <v>88.960791226958065</v>
      </c>
      <c r="G14" s="1" t="s">
        <v>9</v>
      </c>
      <c r="I14" s="1"/>
      <c r="J14" s="1"/>
      <c r="K14" s="1"/>
      <c r="L14" s="1"/>
      <c r="M14" s="34">
        <f>M13-M5</f>
        <v>216.53316173524149</v>
      </c>
      <c r="N14" s="1" t="s">
        <v>9</v>
      </c>
      <c r="O14" s="1"/>
      <c r="P14" s="1"/>
      <c r="Q14" s="1"/>
      <c r="R14" s="1"/>
      <c r="S14" s="1"/>
      <c r="T14" s="34">
        <f>T13-T5</f>
        <v>349.10553224352492</v>
      </c>
      <c r="U14" s="1" t="s">
        <v>9</v>
      </c>
      <c r="V14" s="1"/>
      <c r="W14" s="1"/>
      <c r="X14" s="23"/>
    </row>
    <row r="15" spans="1:24" ht="16" thickBot="1" x14ac:dyDescent="0.25">
      <c r="A15" s="1"/>
      <c r="B15" s="97" t="s">
        <v>82</v>
      </c>
      <c r="C15" s="107">
        <f>Hoofdblad!D15</f>
        <v>0</v>
      </c>
      <c r="D15" s="1"/>
      <c r="E15" s="1"/>
      <c r="F15" s="1"/>
      <c r="G15" s="1"/>
      <c r="H15" s="1"/>
      <c r="I15" s="1"/>
      <c r="J15" s="1"/>
      <c r="K15" s="1"/>
      <c r="L15" s="1"/>
      <c r="M15" s="1"/>
      <c r="N15" s="1"/>
      <c r="O15" s="1"/>
      <c r="P15" s="1"/>
      <c r="Q15" s="1"/>
      <c r="R15" s="1"/>
      <c r="S15" s="1"/>
      <c r="T15" s="1"/>
      <c r="U15" s="1"/>
      <c r="V15" s="1"/>
      <c r="W15" s="1"/>
      <c r="X15" s="1"/>
    </row>
    <row r="16" spans="1:24" ht="112" x14ac:dyDescent="0.2">
      <c r="F16" s="35" t="s">
        <v>10</v>
      </c>
      <c r="G16" s="77" t="s">
        <v>28</v>
      </c>
      <c r="H16" s="77" t="s">
        <v>104</v>
      </c>
      <c r="I16" s="6"/>
      <c r="J16" s="6"/>
      <c r="K16" s="6"/>
      <c r="L16" s="6"/>
      <c r="M16" s="35" t="s">
        <v>10</v>
      </c>
      <c r="N16" s="77" t="s">
        <v>28</v>
      </c>
      <c r="O16" s="77" t="s">
        <v>104</v>
      </c>
      <c r="P16" s="6"/>
      <c r="Q16" s="6"/>
      <c r="R16" s="6"/>
      <c r="S16" s="6"/>
      <c r="T16" s="35" t="s">
        <v>10</v>
      </c>
      <c r="U16" s="77" t="s">
        <v>28</v>
      </c>
      <c r="V16" s="77" t="s">
        <v>104</v>
      </c>
      <c r="W16" s="6"/>
      <c r="X16" s="5"/>
    </row>
    <row r="17" spans="1:24" x14ac:dyDescent="0.2">
      <c r="D17" s="31"/>
      <c r="E17" s="11" t="s">
        <v>11</v>
      </c>
      <c r="F17" s="22">
        <f>IF(F$9&lt;150,F$9,150)</f>
        <v>123.96079122695807</v>
      </c>
      <c r="G17" s="22">
        <f>F$14-F17</f>
        <v>-35</v>
      </c>
      <c r="H17" s="22">
        <f>IF(G17&lt;0,0,G17)</f>
        <v>0</v>
      </c>
      <c r="I17" s="22"/>
      <c r="J17" s="3"/>
      <c r="K17" s="3"/>
      <c r="L17" s="11" t="s">
        <v>11</v>
      </c>
      <c r="M17" s="22">
        <f>IF(M$9&lt;150,M$9,150)</f>
        <v>150</v>
      </c>
      <c r="N17" s="22">
        <f>M$14-M17</f>
        <v>66.533161735241492</v>
      </c>
      <c r="O17" s="22">
        <f>IF(N17&lt;0,0,N17)</f>
        <v>66.533161735241492</v>
      </c>
      <c r="P17" s="22"/>
      <c r="Q17" s="3"/>
      <c r="R17" s="3"/>
      <c r="S17" s="11" t="s">
        <v>11</v>
      </c>
      <c r="T17" s="22">
        <f>IF(T$9&lt;150,T$9,150)</f>
        <v>150</v>
      </c>
      <c r="U17" s="22">
        <f>T$14-T17</f>
        <v>199.10553224352492</v>
      </c>
      <c r="V17" s="22">
        <f>IF(U17&lt;0,0,U17)</f>
        <v>199.10553224352492</v>
      </c>
      <c r="W17" s="22"/>
    </row>
    <row r="18" spans="1:24" x14ac:dyDescent="0.2">
      <c r="D18" s="31"/>
      <c r="E18" s="11" t="s">
        <v>12</v>
      </c>
      <c r="F18" s="22">
        <f>$F$17*0.9</f>
        <v>111.56471210426226</v>
      </c>
      <c r="G18" s="22">
        <f t="shared" ref="G18:G26" si="0">F$14-F18</f>
        <v>-22.603920877304191</v>
      </c>
      <c r="H18" s="22">
        <f t="shared" ref="H18:H26" si="1">IF(G18&lt;0,0,G18)</f>
        <v>0</v>
      </c>
      <c r="I18" s="22"/>
      <c r="J18" s="3"/>
      <c r="K18" s="3"/>
      <c r="L18" s="11" t="s">
        <v>12</v>
      </c>
      <c r="M18" s="22">
        <f>M$17*0.9</f>
        <v>135</v>
      </c>
      <c r="N18" s="22">
        <f>M$14-M18</f>
        <v>81.533161735241492</v>
      </c>
      <c r="O18" s="22">
        <f t="shared" ref="O18:O26" si="2">IF(N18&lt;0,0,N18)</f>
        <v>81.533161735241492</v>
      </c>
      <c r="P18" s="22"/>
      <c r="Q18" s="3"/>
      <c r="R18" s="3"/>
      <c r="S18" s="11" t="s">
        <v>12</v>
      </c>
      <c r="T18" s="22">
        <f>T$17*0.9</f>
        <v>135</v>
      </c>
      <c r="U18" s="22">
        <f>T$14-T18</f>
        <v>214.10553224352492</v>
      </c>
      <c r="V18" s="22">
        <f t="shared" ref="V18:V26" si="3">IF(U18&lt;0,0,U18)</f>
        <v>214.10553224352492</v>
      </c>
      <c r="W18" s="22"/>
    </row>
    <row r="19" spans="1:24" x14ac:dyDescent="0.2">
      <c r="D19" s="32"/>
      <c r="E19" s="11" t="s">
        <v>13</v>
      </c>
      <c r="F19" s="22">
        <f>$F$17*0.8</f>
        <v>99.168632981566461</v>
      </c>
      <c r="G19" s="22">
        <f t="shared" si="0"/>
        <v>-10.207841754608395</v>
      </c>
      <c r="H19" s="22">
        <f t="shared" si="1"/>
        <v>0</v>
      </c>
      <c r="I19" s="22"/>
      <c r="J19" s="3"/>
      <c r="K19" s="3"/>
      <c r="L19" s="11" t="s">
        <v>13</v>
      </c>
      <c r="M19" s="22">
        <f>M$17*0.8</f>
        <v>120</v>
      </c>
      <c r="N19" s="22">
        <f t="shared" ref="N19:N26" si="4">M$14-M19</f>
        <v>96.533161735241492</v>
      </c>
      <c r="O19" s="22">
        <f t="shared" si="2"/>
        <v>96.533161735241492</v>
      </c>
      <c r="P19" s="22"/>
      <c r="Q19" s="3"/>
      <c r="R19" s="3"/>
      <c r="S19" s="11" t="s">
        <v>13</v>
      </c>
      <c r="T19" s="22">
        <f>T$17*0.8</f>
        <v>120</v>
      </c>
      <c r="U19" s="22">
        <f t="shared" ref="U19:U26" si="5">T$14-T19</f>
        <v>229.10553224352492</v>
      </c>
      <c r="V19" s="22">
        <f t="shared" si="3"/>
        <v>229.10553224352492</v>
      </c>
      <c r="W19" s="22"/>
    </row>
    <row r="20" spans="1:24" x14ac:dyDescent="0.2">
      <c r="E20" s="11" t="s">
        <v>14</v>
      </c>
      <c r="F20" s="22">
        <f>$F$17*0.7</f>
        <v>86.772553858870637</v>
      </c>
      <c r="G20" s="22">
        <f t="shared" si="0"/>
        <v>2.1882373680874281</v>
      </c>
      <c r="H20" s="22">
        <f t="shared" si="1"/>
        <v>2.1882373680874281</v>
      </c>
      <c r="I20" s="22"/>
      <c r="J20" s="3"/>
      <c r="K20" s="3"/>
      <c r="L20" s="11" t="s">
        <v>14</v>
      </c>
      <c r="M20" s="22">
        <f>M$17*0.7</f>
        <v>105</v>
      </c>
      <c r="N20" s="22">
        <f t="shared" si="4"/>
        <v>111.53316173524149</v>
      </c>
      <c r="O20" s="22">
        <f t="shared" si="2"/>
        <v>111.53316173524149</v>
      </c>
      <c r="P20" s="22"/>
      <c r="Q20" s="3"/>
      <c r="R20" s="3"/>
      <c r="S20" s="11" t="s">
        <v>14</v>
      </c>
      <c r="T20" s="22">
        <f>T$17*0.7</f>
        <v>105</v>
      </c>
      <c r="U20" s="22">
        <f t="shared" si="5"/>
        <v>244.10553224352492</v>
      </c>
      <c r="V20" s="22">
        <f t="shared" si="3"/>
        <v>244.10553224352492</v>
      </c>
      <c r="W20" s="22"/>
    </row>
    <row r="21" spans="1:24" x14ac:dyDescent="0.2">
      <c r="A21" s="1"/>
      <c r="D21" s="1"/>
      <c r="E21" s="11" t="s">
        <v>15</v>
      </c>
      <c r="F21" s="22">
        <f>$F$17*0.6</f>
        <v>74.376474736174842</v>
      </c>
      <c r="G21" s="22">
        <f t="shared" si="0"/>
        <v>14.584316490783223</v>
      </c>
      <c r="H21" s="22">
        <f t="shared" si="1"/>
        <v>14.584316490783223</v>
      </c>
      <c r="I21" s="22"/>
      <c r="J21" s="3"/>
      <c r="K21" s="3"/>
      <c r="L21" s="11" t="s">
        <v>15</v>
      </c>
      <c r="M21" s="22">
        <f>M$17*0.6</f>
        <v>90</v>
      </c>
      <c r="N21" s="22">
        <f t="shared" si="4"/>
        <v>126.53316173524149</v>
      </c>
      <c r="O21" s="22">
        <f t="shared" si="2"/>
        <v>126.53316173524149</v>
      </c>
      <c r="P21" s="22"/>
      <c r="Q21" s="3"/>
      <c r="R21" s="3"/>
      <c r="S21" s="11" t="s">
        <v>15</v>
      </c>
      <c r="T21" s="22">
        <f>T$17*0.6</f>
        <v>90</v>
      </c>
      <c r="U21" s="22">
        <f t="shared" si="5"/>
        <v>259.10553224352492</v>
      </c>
      <c r="V21" s="22">
        <f t="shared" si="3"/>
        <v>259.10553224352492</v>
      </c>
      <c r="W21" s="22"/>
    </row>
    <row r="22" spans="1:24" x14ac:dyDescent="0.2">
      <c r="E22" s="11" t="s">
        <v>16</v>
      </c>
      <c r="F22" s="22">
        <f>$F$17*0.5</f>
        <v>61.980395613479033</v>
      </c>
      <c r="G22" s="22">
        <f t="shared" si="0"/>
        <v>26.980395613479033</v>
      </c>
      <c r="H22" s="22">
        <f t="shared" si="1"/>
        <v>26.980395613479033</v>
      </c>
      <c r="I22" s="22"/>
      <c r="J22" s="3"/>
      <c r="K22" s="3"/>
      <c r="L22" s="11" t="s">
        <v>16</v>
      </c>
      <c r="M22" s="22">
        <f>M$17*0.5</f>
        <v>75</v>
      </c>
      <c r="N22" s="22">
        <f t="shared" si="4"/>
        <v>141.53316173524149</v>
      </c>
      <c r="O22" s="22">
        <f t="shared" si="2"/>
        <v>141.53316173524149</v>
      </c>
      <c r="P22" s="22"/>
      <c r="Q22" s="3"/>
      <c r="R22" s="3"/>
      <c r="S22" s="11" t="s">
        <v>16</v>
      </c>
      <c r="T22" s="22">
        <f>T$17*0.5</f>
        <v>75</v>
      </c>
      <c r="U22" s="22">
        <f t="shared" si="5"/>
        <v>274.10553224352492</v>
      </c>
      <c r="V22" s="22">
        <f t="shared" si="3"/>
        <v>274.10553224352492</v>
      </c>
      <c r="W22" s="22"/>
    </row>
    <row r="23" spans="1:24" x14ac:dyDescent="0.2">
      <c r="E23" s="11" t="s">
        <v>17</v>
      </c>
      <c r="F23" s="22">
        <f>$F$17*0.4</f>
        <v>49.58431649078323</v>
      </c>
      <c r="G23" s="22">
        <f t="shared" si="0"/>
        <v>39.376474736174835</v>
      </c>
      <c r="H23" s="22">
        <f t="shared" si="1"/>
        <v>39.376474736174835</v>
      </c>
      <c r="I23" s="22"/>
      <c r="J23" s="3"/>
      <c r="K23" s="3"/>
      <c r="L23" s="11" t="s">
        <v>17</v>
      </c>
      <c r="M23" s="22">
        <f>M$17*0.4</f>
        <v>60</v>
      </c>
      <c r="N23" s="22">
        <f t="shared" si="4"/>
        <v>156.53316173524149</v>
      </c>
      <c r="O23" s="22">
        <f t="shared" si="2"/>
        <v>156.53316173524149</v>
      </c>
      <c r="P23" s="22"/>
      <c r="Q23" s="3"/>
      <c r="R23" s="3"/>
      <c r="S23" s="11" t="s">
        <v>17</v>
      </c>
      <c r="T23" s="22">
        <f>T$17*0.4</f>
        <v>60</v>
      </c>
      <c r="U23" s="22">
        <f t="shared" si="5"/>
        <v>289.10553224352492</v>
      </c>
      <c r="V23" s="22">
        <f t="shared" si="3"/>
        <v>289.10553224352492</v>
      </c>
      <c r="W23" s="22"/>
    </row>
    <row r="24" spans="1:24" x14ac:dyDescent="0.2">
      <c r="E24" s="11" t="s">
        <v>18</v>
      </c>
      <c r="F24" s="22">
        <f>$F$17*0.3</f>
        <v>37.188237368087421</v>
      </c>
      <c r="G24" s="22">
        <f t="shared" si="0"/>
        <v>51.772553858870644</v>
      </c>
      <c r="H24" s="22">
        <f t="shared" si="1"/>
        <v>51.772553858870644</v>
      </c>
      <c r="I24" s="22"/>
      <c r="J24" s="3"/>
      <c r="K24" s="3"/>
      <c r="L24" s="11" t="s">
        <v>18</v>
      </c>
      <c r="M24" s="22">
        <f>M$17*0.3</f>
        <v>45</v>
      </c>
      <c r="N24" s="22">
        <f t="shared" si="4"/>
        <v>171.53316173524149</v>
      </c>
      <c r="O24" s="22">
        <f t="shared" si="2"/>
        <v>171.53316173524149</v>
      </c>
      <c r="P24" s="22"/>
      <c r="Q24" s="3"/>
      <c r="R24" s="3"/>
      <c r="S24" s="11" t="s">
        <v>18</v>
      </c>
      <c r="T24" s="22">
        <f>T$17*0.3</f>
        <v>45</v>
      </c>
      <c r="U24" s="22">
        <f t="shared" si="5"/>
        <v>304.10553224352492</v>
      </c>
      <c r="V24" s="22">
        <f t="shared" si="3"/>
        <v>304.10553224352492</v>
      </c>
      <c r="W24" s="22"/>
    </row>
    <row r="25" spans="1:24" x14ac:dyDescent="0.2">
      <c r="E25" s="11" t="s">
        <v>19</v>
      </c>
      <c r="F25" s="22">
        <f>$F$17*0.2</f>
        <v>24.792158245391615</v>
      </c>
      <c r="G25" s="22">
        <f t="shared" si="0"/>
        <v>64.168632981566446</v>
      </c>
      <c r="H25" s="22">
        <f t="shared" si="1"/>
        <v>64.168632981566446</v>
      </c>
      <c r="I25" s="22"/>
      <c r="J25" s="3"/>
      <c r="K25" s="3"/>
      <c r="L25" s="11" t="s">
        <v>19</v>
      </c>
      <c r="M25" s="22">
        <f>M$17*0.2</f>
        <v>30</v>
      </c>
      <c r="N25" s="22">
        <f t="shared" si="4"/>
        <v>186.53316173524149</v>
      </c>
      <c r="O25" s="22">
        <f t="shared" si="2"/>
        <v>186.53316173524149</v>
      </c>
      <c r="P25" s="22"/>
      <c r="Q25" s="3"/>
      <c r="R25" s="3"/>
      <c r="S25" s="11" t="s">
        <v>19</v>
      </c>
      <c r="T25" s="22">
        <f>T$17*0.2</f>
        <v>30</v>
      </c>
      <c r="U25" s="22">
        <f t="shared" si="5"/>
        <v>319.10553224352492</v>
      </c>
      <c r="V25" s="22">
        <f t="shared" si="3"/>
        <v>319.10553224352492</v>
      </c>
      <c r="W25" s="22"/>
    </row>
    <row r="26" spans="1:24" x14ac:dyDescent="0.2">
      <c r="E26" s="11" t="s">
        <v>20</v>
      </c>
      <c r="F26" s="22">
        <f>$F$17*0.1</f>
        <v>12.396079122695808</v>
      </c>
      <c r="G26" s="22">
        <f t="shared" si="0"/>
        <v>76.564712104262256</v>
      </c>
      <c r="H26" s="22">
        <f t="shared" si="1"/>
        <v>76.564712104262256</v>
      </c>
      <c r="I26" s="22"/>
      <c r="J26" s="3"/>
      <c r="K26" s="3"/>
      <c r="L26" s="11" t="s">
        <v>20</v>
      </c>
      <c r="M26" s="22">
        <f>M$17*0.1</f>
        <v>15</v>
      </c>
      <c r="N26" s="22">
        <f t="shared" si="4"/>
        <v>201.53316173524149</v>
      </c>
      <c r="O26" s="22">
        <f t="shared" si="2"/>
        <v>201.53316173524149</v>
      </c>
      <c r="P26" s="22"/>
      <c r="Q26" s="3"/>
      <c r="R26" s="3"/>
      <c r="S26" s="11" t="s">
        <v>20</v>
      </c>
      <c r="T26" s="22">
        <f>T$17*0.1</f>
        <v>15</v>
      </c>
      <c r="U26" s="22">
        <f t="shared" si="5"/>
        <v>334.10553224352492</v>
      </c>
      <c r="V26" s="22">
        <f t="shared" si="3"/>
        <v>334.10553224352492</v>
      </c>
      <c r="W26" s="22"/>
    </row>
    <row r="27" spans="1:24" x14ac:dyDescent="0.2">
      <c r="E27" s="9" t="s">
        <v>21</v>
      </c>
      <c r="F27" s="44">
        <f>SUM(F17:F26)*12</f>
        <v>8181.4122209792331</v>
      </c>
      <c r="G27" s="44">
        <f>SUM(G17:G26)*12</f>
        <v>2493.8827262557352</v>
      </c>
      <c r="H27" s="44">
        <f>SUM(H17:H26)*12</f>
        <v>3307.623877838686</v>
      </c>
      <c r="I27" s="44"/>
      <c r="J27" s="12"/>
      <c r="K27" s="12"/>
      <c r="L27" s="12"/>
      <c r="M27" s="44">
        <f>SUM(M17:M26)*12</f>
        <v>9900</v>
      </c>
      <c r="N27" s="44">
        <f>SUM(N17:N26)*12</f>
        <v>16083.979408228979</v>
      </c>
      <c r="O27" s="44">
        <f>SUM(O17:O26)*12</f>
        <v>16083.979408228979</v>
      </c>
      <c r="P27" s="44"/>
      <c r="Q27" s="12"/>
      <c r="R27" s="12"/>
      <c r="S27" s="12"/>
      <c r="T27" s="44">
        <f>SUM(T17:T26)*12</f>
        <v>9900</v>
      </c>
      <c r="U27" s="44">
        <f>SUM(U17:U26)*12</f>
        <v>31992.66386922299</v>
      </c>
      <c r="V27" s="44">
        <f>SUM(V17:V26)*12</f>
        <v>31992.66386922299</v>
      </c>
      <c r="W27" s="44"/>
      <c r="X27" s="12"/>
    </row>
    <row r="28" spans="1:24" ht="16" thickBot="1" x14ac:dyDescent="0.25">
      <c r="G28" s="13"/>
      <c r="H28" s="3"/>
      <c r="I28" s="3"/>
      <c r="J28" s="3"/>
      <c r="K28" s="3"/>
      <c r="L28" s="3"/>
      <c r="M28" s="3"/>
      <c r="N28" s="3"/>
      <c r="O28" s="3"/>
      <c r="P28" s="3"/>
      <c r="Q28" s="3"/>
      <c r="R28" s="3"/>
      <c r="S28" s="3"/>
      <c r="T28" s="22"/>
      <c r="U28" s="22"/>
      <c r="V28" s="22"/>
      <c r="W28" s="22"/>
    </row>
    <row r="29" spans="1:24" ht="16" thickBot="1" x14ac:dyDescent="0.25">
      <c r="G29" s="17" t="s">
        <v>54</v>
      </c>
      <c r="H29" s="45">
        <f>H27</f>
        <v>3307.623877838686</v>
      </c>
      <c r="I29" s="3"/>
      <c r="J29" s="3"/>
      <c r="K29" s="3"/>
      <c r="N29" s="17" t="s">
        <v>54</v>
      </c>
      <c r="O29" s="45">
        <f>O27</f>
        <v>16083.979408228979</v>
      </c>
      <c r="P29" s="3"/>
      <c r="Q29" s="3"/>
      <c r="R29" s="3"/>
      <c r="U29" s="17" t="s">
        <v>54</v>
      </c>
      <c r="V29" s="45">
        <f>V27</f>
        <v>31992.66386922299</v>
      </c>
      <c r="W29" s="22"/>
    </row>
    <row r="30" spans="1:24" x14ac:dyDescent="0.2">
      <c r="G30" s="28"/>
      <c r="H30" s="14"/>
      <c r="I30" s="14"/>
      <c r="J30" s="14"/>
      <c r="K30" s="14"/>
    </row>
    <row r="31" spans="1:24" x14ac:dyDescent="0.2">
      <c r="G31" s="3"/>
      <c r="U31" s="3"/>
    </row>
    <row r="32" spans="1:24" x14ac:dyDescent="0.2">
      <c r="U32" s="4"/>
      <c r="V32" s="2"/>
      <c r="W32" s="2"/>
    </row>
    <row r="35" spans="5:16" x14ac:dyDescent="0.2">
      <c r="F35" s="133"/>
      <c r="G35" s="133"/>
      <c r="H35" s="133"/>
      <c r="I35" s="133"/>
      <c r="M35" s="133"/>
      <c r="N35" s="133"/>
      <c r="O35" s="133"/>
      <c r="P35" s="133"/>
    </row>
    <row r="36" spans="5:16" x14ac:dyDescent="0.2">
      <c r="F36"/>
      <c r="G36" s="3"/>
      <c r="N36" s="3"/>
    </row>
    <row r="37" spans="5:16" x14ac:dyDescent="0.2">
      <c r="F37" s="50"/>
      <c r="G37" s="50"/>
      <c r="H37" s="50"/>
      <c r="I37" s="50"/>
      <c r="J37" s="3"/>
      <c r="M37" s="50"/>
      <c r="N37" s="50"/>
      <c r="O37" s="50"/>
      <c r="P37" s="50"/>
    </row>
    <row r="38" spans="5:16" x14ac:dyDescent="0.2">
      <c r="E38" s="52"/>
      <c r="F38" s="51"/>
      <c r="G38" s="51"/>
      <c r="H38" s="51"/>
      <c r="I38" s="51"/>
      <c r="J38" s="3"/>
      <c r="L38" s="39"/>
      <c r="M38" s="51"/>
      <c r="N38" s="51"/>
      <c r="O38" s="51"/>
      <c r="P38" s="51"/>
    </row>
    <row r="39" spans="5:16" x14ac:dyDescent="0.2">
      <c r="E39" s="52"/>
      <c r="F39" s="51"/>
      <c r="G39" s="51"/>
      <c r="H39" s="51"/>
      <c r="I39" s="51"/>
      <c r="J39" s="3"/>
      <c r="L39" s="39"/>
      <c r="M39" s="51"/>
      <c r="N39" s="51"/>
      <c r="O39" s="51"/>
      <c r="P39" s="51"/>
    </row>
    <row r="40" spans="5:16" x14ac:dyDescent="0.2">
      <c r="E40" s="52"/>
      <c r="F40" s="51"/>
      <c r="G40" s="51"/>
      <c r="H40" s="51"/>
      <c r="I40" s="51"/>
      <c r="L40" s="39"/>
      <c r="M40" s="51"/>
      <c r="N40" s="51"/>
      <c r="O40" s="51"/>
      <c r="P40" s="51"/>
    </row>
    <row r="41" spans="5:16" x14ac:dyDescent="0.2">
      <c r="E41" s="39"/>
      <c r="F41"/>
      <c r="G41" s="3"/>
      <c r="H41" s="3"/>
      <c r="L41" s="39"/>
      <c r="N41" s="3"/>
      <c r="O41" s="3"/>
    </row>
    <row r="42" spans="5:16" x14ac:dyDescent="0.2">
      <c r="F42"/>
      <c r="G42" s="3"/>
      <c r="N42" s="3"/>
    </row>
    <row r="43" spans="5:16" x14ac:dyDescent="0.2">
      <c r="F43"/>
      <c r="G43" s="3"/>
      <c r="N43" s="3"/>
    </row>
    <row r="44" spans="5:16" x14ac:dyDescent="0.2">
      <c r="F44" s="133"/>
      <c r="G44" s="133"/>
      <c r="H44" s="133"/>
      <c r="I44" s="133"/>
      <c r="M44" s="133"/>
      <c r="N44" s="133"/>
      <c r="O44" s="133"/>
      <c r="P44" s="133"/>
    </row>
    <row r="45" spans="5:16" x14ac:dyDescent="0.2">
      <c r="F45"/>
      <c r="G45" s="3"/>
      <c r="N45" s="3"/>
    </row>
    <row r="46" spans="5:16" x14ac:dyDescent="0.2">
      <c r="F46" s="50"/>
      <c r="G46" s="50"/>
      <c r="H46" s="50"/>
      <c r="I46" s="50"/>
      <c r="M46" s="50"/>
      <c r="N46" s="50"/>
      <c r="O46" s="50"/>
      <c r="P46" s="50"/>
    </row>
    <row r="47" spans="5:16" x14ac:dyDescent="0.2">
      <c r="E47" s="52"/>
      <c r="F47" s="51"/>
      <c r="G47" s="51"/>
      <c r="H47" s="51"/>
      <c r="I47" s="51"/>
      <c r="L47" s="39"/>
      <c r="M47" s="51"/>
      <c r="N47" s="51"/>
      <c r="O47" s="51"/>
      <c r="P47" s="51"/>
    </row>
    <row r="48" spans="5:16" x14ac:dyDescent="0.2">
      <c r="E48" s="52"/>
      <c r="F48" s="51"/>
      <c r="G48" s="51"/>
      <c r="H48" s="51"/>
      <c r="I48" s="51"/>
      <c r="L48" s="39"/>
      <c r="M48" s="51"/>
      <c r="N48" s="51"/>
      <c r="O48" s="51"/>
      <c r="P48" s="51"/>
    </row>
    <row r="49" spans="5:16" x14ac:dyDescent="0.2">
      <c r="E49" s="52"/>
      <c r="F49" s="51"/>
      <c r="G49" s="51"/>
      <c r="H49" s="51"/>
      <c r="I49" s="51"/>
      <c r="L49" s="39"/>
      <c r="M49" s="51"/>
      <c r="N49" s="51"/>
      <c r="O49" s="51"/>
      <c r="P49" s="51"/>
    </row>
    <row r="50" spans="5:16" x14ac:dyDescent="0.2">
      <c r="F50"/>
      <c r="G50" s="3"/>
    </row>
  </sheetData>
  <mergeCells count="8">
    <mergeCell ref="T3:W3"/>
    <mergeCell ref="F35:I35"/>
    <mergeCell ref="M35:P35"/>
    <mergeCell ref="B9:C9"/>
    <mergeCell ref="F44:I44"/>
    <mergeCell ref="M44:P44"/>
    <mergeCell ref="F3:I3"/>
    <mergeCell ref="M3:P3"/>
  </mergeCells>
  <conditionalFormatting sqref="H29:K29 O29:R29">
    <cfRule type="cellIs" dxfId="16" priority="6" operator="lessThan">
      <formula>0</formula>
    </cfRule>
    <cfRule type="cellIs" dxfId="15" priority="7" operator="greaterThan">
      <formula>0</formula>
    </cfRule>
  </conditionalFormatting>
  <conditionalFormatting sqref="I17:K26">
    <cfRule type="cellIs" dxfId="14" priority="14" operator="equal">
      <formula>6500</formula>
    </cfRule>
  </conditionalFormatting>
  <conditionalFormatting sqref="P17:R26">
    <cfRule type="cellIs" dxfId="13" priority="2" operator="equal">
      <formula>6500</formula>
    </cfRule>
  </conditionalFormatting>
  <conditionalFormatting sqref="V29">
    <cfRule type="cellIs" dxfId="12" priority="8" operator="lessThan">
      <formula>0</formula>
    </cfRule>
    <cfRule type="cellIs" dxfId="11" priority="9" operator="greaterThan">
      <formula>0</formula>
    </cfRule>
  </conditionalFormatting>
  <conditionalFormatting sqref="W17:W26">
    <cfRule type="cellIs" dxfId="10" priority="1" operator="equal">
      <formula>6500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25E48-7069-5D48-B065-6AE7F8DFC492}">
  <dimension ref="A1:W50"/>
  <sheetViews>
    <sheetView topLeftCell="I7" zoomScale="136" workbookViewId="0">
      <selection activeCell="T12" sqref="T12"/>
    </sheetView>
  </sheetViews>
  <sheetFormatPr baseColWidth="10" defaultRowHeight="15" x14ac:dyDescent="0.2"/>
  <cols>
    <col min="1" max="1" width="12.33203125" customWidth="1"/>
    <col min="2" max="2" width="17.33203125" hidden="1" customWidth="1"/>
    <col min="3" max="3" width="10.1640625" hidden="1" customWidth="1"/>
    <col min="4" max="4" width="10.1640625" customWidth="1"/>
    <col min="5" max="5" width="11.33203125" customWidth="1"/>
    <col min="6" max="6" width="15.83203125" style="3" customWidth="1"/>
    <col min="7" max="7" width="17.1640625" customWidth="1"/>
    <col min="8" max="8" width="12.5" customWidth="1"/>
    <col min="9" max="9" width="15.6640625" customWidth="1"/>
    <col min="10" max="10" width="10.33203125" customWidth="1"/>
    <col min="11" max="11" width="9.1640625" customWidth="1"/>
    <col min="12" max="12" width="13.1640625" customWidth="1"/>
    <col min="13" max="14" width="16.5" customWidth="1"/>
    <col min="15" max="15" width="11.5" customWidth="1"/>
    <col min="16" max="16" width="13.6640625" customWidth="1"/>
    <col min="17" max="17" width="8.1640625" customWidth="1"/>
    <col min="18" max="18" width="8.83203125" customWidth="1"/>
    <col min="19" max="19" width="9.5" customWidth="1"/>
    <col min="20" max="20" width="21.33203125" style="3" customWidth="1"/>
    <col min="21" max="21" width="20.5" customWidth="1"/>
    <col min="22" max="22" width="12.33203125" customWidth="1"/>
    <col min="23" max="23" width="14.5" customWidth="1"/>
  </cols>
  <sheetData>
    <row r="1" spans="1:23" ht="24" x14ac:dyDescent="0.3">
      <c r="F1" s="7"/>
      <c r="N1" s="8"/>
    </row>
    <row r="2" spans="1:23" ht="16" thickBot="1" x14ac:dyDescent="0.25">
      <c r="B2" s="9"/>
      <c r="M2" s="3"/>
    </row>
    <row r="3" spans="1:23" ht="16" thickBot="1" x14ac:dyDescent="0.25">
      <c r="B3" s="18" t="s">
        <v>23</v>
      </c>
      <c r="C3" s="19"/>
      <c r="D3" s="29"/>
      <c r="F3" s="150" t="s">
        <v>3</v>
      </c>
      <c r="G3" s="150"/>
      <c r="H3" s="150"/>
      <c r="I3" s="150"/>
      <c r="M3" s="150" t="s">
        <v>4</v>
      </c>
      <c r="N3" s="150"/>
      <c r="O3" s="150"/>
      <c r="P3" s="150"/>
      <c r="T3" s="150" t="s">
        <v>5</v>
      </c>
      <c r="U3" s="150"/>
      <c r="V3" s="150"/>
      <c r="W3" s="150"/>
    </row>
    <row r="4" spans="1:23" x14ac:dyDescent="0.2">
      <c r="B4" s="15" t="s">
        <v>24</v>
      </c>
      <c r="C4" s="101">
        <f>Hoofdblad!D4</f>
        <v>1500</v>
      </c>
      <c r="D4" s="30"/>
      <c r="F4" s="41">
        <f>Hoofdblad!G4</f>
        <v>25000</v>
      </c>
      <c r="G4" s="11" t="s">
        <v>6</v>
      </c>
      <c r="H4" s="11"/>
      <c r="I4" s="11"/>
      <c r="J4" s="11"/>
      <c r="K4" s="11"/>
      <c r="L4" s="11"/>
      <c r="M4" s="41">
        <f>Hoofdblad!G5</f>
        <v>50000</v>
      </c>
      <c r="N4" s="11" t="s">
        <v>6</v>
      </c>
      <c r="O4" s="11"/>
      <c r="P4" s="11"/>
      <c r="Q4" s="11"/>
      <c r="R4" s="11"/>
      <c r="S4" s="11"/>
      <c r="T4" s="42">
        <f>Hoofdblad!G6</f>
        <v>75000</v>
      </c>
      <c r="U4" s="11" t="s">
        <v>7</v>
      </c>
      <c r="V4" s="11"/>
      <c r="W4" s="11"/>
    </row>
    <row r="5" spans="1:23" x14ac:dyDescent="0.2">
      <c r="B5" s="15" t="s">
        <v>25</v>
      </c>
      <c r="C5" s="102">
        <f>Hoofdblad!D5</f>
        <v>2500</v>
      </c>
      <c r="F5" s="58">
        <f>Hoofdblad!H4</f>
        <v>35</v>
      </c>
      <c r="G5" s="39" t="s">
        <v>8</v>
      </c>
      <c r="H5" s="39"/>
      <c r="I5" s="39"/>
      <c r="J5" s="39"/>
      <c r="K5" s="39"/>
      <c r="L5" s="39"/>
      <c r="M5" s="59">
        <f>Hoofdblad!H5</f>
        <v>55</v>
      </c>
      <c r="N5" s="39" t="s">
        <v>8</v>
      </c>
      <c r="O5" s="39"/>
      <c r="P5" s="39"/>
      <c r="Q5" s="39"/>
      <c r="R5" s="39"/>
      <c r="S5" s="39"/>
      <c r="T5" s="60">
        <f>Hoofdblad!H6</f>
        <v>70</v>
      </c>
      <c r="U5" t="s">
        <v>8</v>
      </c>
    </row>
    <row r="6" spans="1:23" ht="16" thickBot="1" x14ac:dyDescent="0.25">
      <c r="A6" s="9"/>
      <c r="B6" s="16" t="s">
        <v>26</v>
      </c>
      <c r="C6" s="103">
        <f>Hoofdblad!D6</f>
        <v>0</v>
      </c>
      <c r="F6" s="40">
        <f>SUM($C$4:$C$6)</f>
        <v>4000</v>
      </c>
      <c r="G6" t="s">
        <v>31</v>
      </c>
      <c r="M6" s="40">
        <f>SUM($C$4:$C$6)</f>
        <v>4000</v>
      </c>
      <c r="N6" t="s">
        <v>31</v>
      </c>
      <c r="T6" s="40">
        <f>SUM($C$4:$C$6)</f>
        <v>4000</v>
      </c>
      <c r="U6" t="s">
        <v>31</v>
      </c>
      <c r="V6" s="9"/>
      <c r="W6" s="9"/>
    </row>
    <row r="7" spans="1:23" ht="16" thickBot="1" x14ac:dyDescent="0.25">
      <c r="B7" s="33" t="s">
        <v>27</v>
      </c>
      <c r="C7" s="104"/>
      <c r="D7" s="31"/>
      <c r="F7" s="41">
        <f>F4-F6</f>
        <v>21000</v>
      </c>
      <c r="G7" s="11" t="s">
        <v>30</v>
      </c>
      <c r="H7" s="9"/>
      <c r="M7" s="41">
        <f>M4-M6</f>
        <v>46000</v>
      </c>
      <c r="N7" s="11" t="s">
        <v>30</v>
      </c>
      <c r="T7" s="42">
        <f>T4-T6</f>
        <v>71000</v>
      </c>
      <c r="U7" s="11" t="s">
        <v>30</v>
      </c>
    </row>
    <row r="8" spans="1:23" ht="16" thickBot="1" x14ac:dyDescent="0.25">
      <c r="C8" s="53"/>
      <c r="D8" s="31"/>
      <c r="F8" s="22">
        <f>$C$10*F7</f>
        <v>21000</v>
      </c>
      <c r="G8" s="11" t="s">
        <v>74</v>
      </c>
      <c r="H8" s="4"/>
      <c r="I8" s="9"/>
      <c r="J8" s="9"/>
      <c r="K8" s="9"/>
      <c r="L8" s="9"/>
      <c r="M8" s="22">
        <f>$C$10*M7</f>
        <v>46000</v>
      </c>
      <c r="N8" s="11" t="s">
        <v>74</v>
      </c>
      <c r="O8" s="9"/>
      <c r="P8" s="9"/>
      <c r="Q8" s="9"/>
      <c r="R8" s="9"/>
      <c r="S8" s="9"/>
      <c r="T8" s="22">
        <f>$C$10*T7</f>
        <v>71000</v>
      </c>
      <c r="U8" s="11" t="s">
        <v>74</v>
      </c>
    </row>
    <row r="9" spans="1:23" ht="16" thickBot="1" x14ac:dyDescent="0.25">
      <c r="B9" s="141" t="s">
        <v>78</v>
      </c>
      <c r="C9" s="142"/>
      <c r="D9" s="32"/>
      <c r="F9" s="22">
        <f>IFERROR(PMT($C$11/12,$C$12*12,-F8),0)</f>
        <v>123.96079122695807</v>
      </c>
      <c r="G9" s="11" t="s">
        <v>79</v>
      </c>
      <c r="H9" s="1"/>
      <c r="I9" s="4"/>
      <c r="J9" s="4"/>
      <c r="K9" s="4"/>
      <c r="L9" s="4"/>
      <c r="M9" s="22">
        <f>IFERROR(PMT($C$11/12,$C$12*12,-M8),0)</f>
        <v>271.53316173524149</v>
      </c>
      <c r="N9" s="11" t="s">
        <v>79</v>
      </c>
      <c r="T9" s="22">
        <f>PMT($C$11/12,$C$12*12,-T8)</f>
        <v>419.10553224352492</v>
      </c>
      <c r="U9" s="11" t="s">
        <v>79</v>
      </c>
    </row>
    <row r="10" spans="1:23" x14ac:dyDescent="0.2">
      <c r="B10" s="95" t="s">
        <v>74</v>
      </c>
      <c r="C10" s="105">
        <f>Hoofdblad!D10</f>
        <v>1</v>
      </c>
      <c r="D10" s="32"/>
      <c r="F10" s="22">
        <f>$C$13*F7</f>
        <v>0</v>
      </c>
      <c r="G10" s="11" t="s">
        <v>76</v>
      </c>
      <c r="H10" s="1"/>
      <c r="I10" s="4"/>
      <c r="J10" s="4"/>
      <c r="K10" s="4"/>
      <c r="L10" s="4"/>
      <c r="M10" s="22">
        <f>$C$13*M7</f>
        <v>0</v>
      </c>
      <c r="N10" s="11" t="s">
        <v>76</v>
      </c>
      <c r="O10" s="1"/>
      <c r="P10" s="1"/>
      <c r="Q10" s="1"/>
      <c r="R10" s="1"/>
      <c r="S10" s="1"/>
      <c r="T10" s="22">
        <f>$C$13*T7</f>
        <v>0</v>
      </c>
      <c r="U10" s="11" t="s">
        <v>76</v>
      </c>
    </row>
    <row r="11" spans="1:23" x14ac:dyDescent="0.2">
      <c r="A11" s="1"/>
      <c r="B11" s="96" t="s">
        <v>75</v>
      </c>
      <c r="C11" s="106">
        <f>Hoofdblad!D11</f>
        <v>3.6999999999999998E-2</v>
      </c>
      <c r="D11" s="32"/>
      <c r="F11" s="22">
        <f>IFERROR(PMT($C$14/12,$C$15*12,-F10),0)</f>
        <v>0</v>
      </c>
      <c r="G11" s="11" t="s">
        <v>80</v>
      </c>
      <c r="H11" s="1"/>
      <c r="I11" s="4"/>
      <c r="J11" s="4"/>
      <c r="K11" s="4"/>
      <c r="L11" s="4"/>
      <c r="M11" s="22">
        <f>IFERROR(PMT($C$14/12,$C$15*12,-M10),0)</f>
        <v>0</v>
      </c>
      <c r="N11" s="11" t="s">
        <v>80</v>
      </c>
      <c r="O11" s="1"/>
      <c r="P11" s="1"/>
      <c r="Q11" s="1"/>
      <c r="R11" s="1"/>
      <c r="S11" s="1"/>
      <c r="T11" s="22">
        <f>IFERROR(PMT($C$14/12,$C$15*12,-T10),0)</f>
        <v>0</v>
      </c>
      <c r="U11" s="11" t="s">
        <v>80</v>
      </c>
    </row>
    <row r="12" spans="1:23" ht="16" thickBot="1" x14ac:dyDescent="0.25">
      <c r="B12" s="97" t="s">
        <v>81</v>
      </c>
      <c r="C12" s="107">
        <f>Hoofdblad!D12</f>
        <v>20</v>
      </c>
      <c r="D12" s="32"/>
      <c r="H12" s="1"/>
      <c r="I12" s="4"/>
      <c r="J12" s="4"/>
      <c r="K12" s="4"/>
      <c r="L12" s="4"/>
      <c r="M12" s="3"/>
      <c r="O12" s="1"/>
      <c r="P12" s="1"/>
      <c r="Q12" s="6"/>
      <c r="R12" s="6"/>
      <c r="S12" s="1"/>
    </row>
    <row r="13" spans="1:23" x14ac:dyDescent="0.2">
      <c r="B13" s="96" t="s">
        <v>76</v>
      </c>
      <c r="C13" s="106">
        <f>Hoofdblad!D13</f>
        <v>0</v>
      </c>
      <c r="D13" s="32"/>
      <c r="F13" s="21">
        <f>F9+F11</f>
        <v>123.96079122695807</v>
      </c>
      <c r="G13" t="s">
        <v>32</v>
      </c>
      <c r="H13" s="1"/>
      <c r="I13" s="4"/>
      <c r="J13" s="4"/>
      <c r="K13" s="4"/>
      <c r="L13" s="4"/>
      <c r="M13" s="21">
        <f>M9+M11</f>
        <v>271.53316173524149</v>
      </c>
      <c r="N13" t="s">
        <v>32</v>
      </c>
      <c r="O13" s="1"/>
      <c r="P13" s="1"/>
      <c r="Q13" s="3"/>
      <c r="R13" s="3"/>
      <c r="S13" s="1"/>
      <c r="T13" s="21">
        <f>T9+T11</f>
        <v>419.10553224352492</v>
      </c>
      <c r="U13" t="s">
        <v>32</v>
      </c>
    </row>
    <row r="14" spans="1:23" x14ac:dyDescent="0.2">
      <c r="B14" s="96" t="s">
        <v>77</v>
      </c>
      <c r="C14" s="108">
        <f>Hoofdblad!D14</f>
        <v>0</v>
      </c>
      <c r="F14" s="34">
        <f>F13-F5</f>
        <v>88.960791226958065</v>
      </c>
      <c r="G14" s="1" t="s">
        <v>9</v>
      </c>
      <c r="I14" s="1"/>
      <c r="J14" s="1"/>
      <c r="K14" s="1"/>
      <c r="L14" s="1"/>
      <c r="M14" s="34">
        <f>M13-M5</f>
        <v>216.53316173524149</v>
      </c>
      <c r="N14" s="1" t="s">
        <v>9</v>
      </c>
      <c r="O14" s="1"/>
      <c r="P14" s="1"/>
      <c r="Q14" s="3"/>
      <c r="R14" s="3"/>
      <c r="S14" s="1"/>
      <c r="T14" s="34">
        <f>T13-T5</f>
        <v>349.10553224352492</v>
      </c>
      <c r="U14" s="1" t="s">
        <v>9</v>
      </c>
      <c r="V14" s="1"/>
      <c r="W14" s="1"/>
    </row>
    <row r="15" spans="1:23" ht="16" thickBot="1" x14ac:dyDescent="0.25">
      <c r="B15" s="97" t="s">
        <v>82</v>
      </c>
      <c r="C15" s="107">
        <f>Hoofdblad!D15</f>
        <v>0</v>
      </c>
      <c r="D15" s="1"/>
      <c r="E15" s="1"/>
      <c r="F15" s="1"/>
      <c r="G15" s="1"/>
      <c r="H15" s="1"/>
      <c r="I15" s="1"/>
      <c r="J15" s="1"/>
      <c r="K15" s="1"/>
      <c r="L15" s="1"/>
      <c r="M15" s="1"/>
      <c r="N15" s="1"/>
      <c r="O15" s="1"/>
      <c r="P15" s="1"/>
      <c r="Q15" s="3"/>
      <c r="R15" s="3"/>
      <c r="S15" s="1"/>
      <c r="T15" s="1"/>
      <c r="U15" s="1"/>
      <c r="V15" s="1"/>
      <c r="W15" s="1"/>
    </row>
    <row r="16" spans="1:23" ht="32" x14ac:dyDescent="0.2">
      <c r="F16" s="5"/>
      <c r="G16" s="109" t="s">
        <v>84</v>
      </c>
      <c r="H16" s="6"/>
      <c r="I16" s="6"/>
      <c r="J16" s="6"/>
      <c r="K16" s="6"/>
      <c r="L16" s="6"/>
      <c r="M16" s="5"/>
      <c r="N16" s="109" t="s">
        <v>85</v>
      </c>
      <c r="O16" s="6"/>
      <c r="P16" s="6"/>
      <c r="Q16" s="3"/>
      <c r="R16" s="3"/>
      <c r="S16" s="6"/>
      <c r="T16" s="5"/>
      <c r="U16" s="109" t="s">
        <v>85</v>
      </c>
      <c r="V16" s="6"/>
      <c r="W16" s="6"/>
    </row>
    <row r="17" spans="1:23" x14ac:dyDescent="0.2">
      <c r="A17" s="1"/>
      <c r="D17" s="31"/>
      <c r="E17" s="11" t="s">
        <v>11</v>
      </c>
      <c r="F17" s="22"/>
      <c r="G17" s="22">
        <f>F$14</f>
        <v>88.960791226958065</v>
      </c>
      <c r="H17" s="22"/>
      <c r="I17" s="22"/>
      <c r="J17" s="3"/>
      <c r="K17" s="3"/>
      <c r="L17" s="11" t="s">
        <v>11</v>
      </c>
      <c r="M17" s="22"/>
      <c r="N17" s="22">
        <f>M$14</f>
        <v>216.53316173524149</v>
      </c>
      <c r="O17" s="22"/>
      <c r="P17" s="22"/>
      <c r="Q17" s="3"/>
      <c r="R17" s="3"/>
      <c r="S17" s="11" t="s">
        <v>11</v>
      </c>
      <c r="T17" s="22"/>
      <c r="U17" s="22">
        <f>T$14</f>
        <v>349.10553224352492</v>
      </c>
      <c r="V17" s="22"/>
      <c r="W17" s="22"/>
    </row>
    <row r="18" spans="1:23" x14ac:dyDescent="0.2">
      <c r="D18" s="31"/>
      <c r="E18" s="11" t="s">
        <v>12</v>
      </c>
      <c r="F18" s="22"/>
      <c r="G18" s="22">
        <f t="shared" ref="G18:G26" si="0">F$14</f>
        <v>88.960791226958065</v>
      </c>
      <c r="H18" s="22"/>
      <c r="I18" s="22"/>
      <c r="J18" s="3"/>
      <c r="K18" s="3"/>
      <c r="L18" s="11" t="s">
        <v>12</v>
      </c>
      <c r="M18" s="22"/>
      <c r="N18" s="22">
        <f t="shared" ref="N18:N26" si="1">M$14</f>
        <v>216.53316173524149</v>
      </c>
      <c r="O18" s="22"/>
      <c r="P18" s="22"/>
      <c r="Q18" s="3"/>
      <c r="R18" s="3"/>
      <c r="S18" s="11" t="s">
        <v>12</v>
      </c>
      <c r="T18" s="22"/>
      <c r="U18" s="22">
        <f t="shared" ref="U18:U26" si="2">T$14</f>
        <v>349.10553224352492</v>
      </c>
      <c r="V18" s="22"/>
      <c r="W18" s="22"/>
    </row>
    <row r="19" spans="1:23" x14ac:dyDescent="0.2">
      <c r="D19" s="32"/>
      <c r="E19" s="11" t="s">
        <v>13</v>
      </c>
      <c r="F19" s="22"/>
      <c r="G19" s="22">
        <f t="shared" si="0"/>
        <v>88.960791226958065</v>
      </c>
      <c r="H19" s="22"/>
      <c r="I19" s="22"/>
      <c r="J19" s="3"/>
      <c r="K19" s="3"/>
      <c r="L19" s="11" t="s">
        <v>13</v>
      </c>
      <c r="M19" s="22"/>
      <c r="N19" s="22">
        <f t="shared" si="1"/>
        <v>216.53316173524149</v>
      </c>
      <c r="O19" s="22"/>
      <c r="P19" s="22"/>
      <c r="Q19" s="3"/>
      <c r="R19" s="3"/>
      <c r="S19" s="11" t="s">
        <v>13</v>
      </c>
      <c r="T19" s="22"/>
      <c r="U19" s="22">
        <f t="shared" si="2"/>
        <v>349.10553224352492</v>
      </c>
      <c r="V19" s="22"/>
      <c r="W19" s="22"/>
    </row>
    <row r="20" spans="1:23" x14ac:dyDescent="0.2">
      <c r="E20" s="11" t="s">
        <v>14</v>
      </c>
      <c r="F20" s="22"/>
      <c r="G20" s="22">
        <f t="shared" si="0"/>
        <v>88.960791226958065</v>
      </c>
      <c r="H20" s="22"/>
      <c r="I20" s="22"/>
      <c r="J20" s="3"/>
      <c r="K20" s="3"/>
      <c r="L20" s="11" t="s">
        <v>14</v>
      </c>
      <c r="M20" s="22"/>
      <c r="N20" s="22">
        <f t="shared" si="1"/>
        <v>216.53316173524149</v>
      </c>
      <c r="O20" s="22"/>
      <c r="P20" s="22"/>
      <c r="Q20" s="3"/>
      <c r="R20" s="3"/>
      <c r="S20" s="11" t="s">
        <v>14</v>
      </c>
      <c r="T20" s="22"/>
      <c r="U20" s="22">
        <f t="shared" si="2"/>
        <v>349.10553224352492</v>
      </c>
      <c r="V20" s="22"/>
      <c r="W20" s="22"/>
    </row>
    <row r="21" spans="1:23" x14ac:dyDescent="0.2">
      <c r="D21" s="1"/>
      <c r="E21" s="11" t="s">
        <v>15</v>
      </c>
      <c r="F21" s="22"/>
      <c r="G21" s="22">
        <f t="shared" si="0"/>
        <v>88.960791226958065</v>
      </c>
      <c r="H21" s="22"/>
      <c r="I21" s="22"/>
      <c r="J21" s="3"/>
      <c r="K21" s="3"/>
      <c r="L21" s="11" t="s">
        <v>15</v>
      </c>
      <c r="M21" s="22"/>
      <c r="N21" s="22">
        <f t="shared" si="1"/>
        <v>216.53316173524149</v>
      </c>
      <c r="O21" s="22"/>
      <c r="P21" s="22"/>
      <c r="Q21" s="3"/>
      <c r="R21" s="3"/>
      <c r="S21" s="11" t="s">
        <v>15</v>
      </c>
      <c r="T21" s="22"/>
      <c r="U21" s="22">
        <f t="shared" si="2"/>
        <v>349.10553224352492</v>
      </c>
      <c r="V21" s="22"/>
      <c r="W21" s="22"/>
    </row>
    <row r="22" spans="1:23" x14ac:dyDescent="0.2">
      <c r="E22" s="11" t="s">
        <v>16</v>
      </c>
      <c r="F22" s="22"/>
      <c r="G22" s="22">
        <f t="shared" si="0"/>
        <v>88.960791226958065</v>
      </c>
      <c r="H22" s="22"/>
      <c r="I22" s="22"/>
      <c r="J22" s="3"/>
      <c r="K22" s="3"/>
      <c r="L22" s="11" t="s">
        <v>16</v>
      </c>
      <c r="M22" s="22"/>
      <c r="N22" s="22">
        <f t="shared" si="1"/>
        <v>216.53316173524149</v>
      </c>
      <c r="O22" s="22"/>
      <c r="P22" s="22"/>
      <c r="Q22" s="3"/>
      <c r="R22" s="3"/>
      <c r="S22" s="11" t="s">
        <v>16</v>
      </c>
      <c r="T22" s="22"/>
      <c r="U22" s="22">
        <f t="shared" si="2"/>
        <v>349.10553224352492</v>
      </c>
      <c r="V22" s="22"/>
      <c r="W22" s="22"/>
    </row>
    <row r="23" spans="1:23" x14ac:dyDescent="0.2">
      <c r="E23" s="11" t="s">
        <v>17</v>
      </c>
      <c r="F23" s="22"/>
      <c r="G23" s="22">
        <f t="shared" si="0"/>
        <v>88.960791226958065</v>
      </c>
      <c r="H23" s="22"/>
      <c r="I23" s="22"/>
      <c r="J23" s="3"/>
      <c r="K23" s="3"/>
      <c r="L23" s="11" t="s">
        <v>17</v>
      </c>
      <c r="M23" s="22"/>
      <c r="N23" s="22">
        <f t="shared" si="1"/>
        <v>216.53316173524149</v>
      </c>
      <c r="O23" s="22"/>
      <c r="P23" s="22"/>
      <c r="Q23" s="12"/>
      <c r="R23" s="12"/>
      <c r="S23" s="11" t="s">
        <v>17</v>
      </c>
      <c r="T23" s="22"/>
      <c r="U23" s="22">
        <f t="shared" si="2"/>
        <v>349.10553224352492</v>
      </c>
      <c r="V23" s="22"/>
      <c r="W23" s="22"/>
    </row>
    <row r="24" spans="1:23" x14ac:dyDescent="0.2">
      <c r="E24" s="11" t="s">
        <v>18</v>
      </c>
      <c r="F24" s="22"/>
      <c r="G24" s="22">
        <f t="shared" si="0"/>
        <v>88.960791226958065</v>
      </c>
      <c r="H24" s="22"/>
      <c r="I24" s="22"/>
      <c r="J24" s="3"/>
      <c r="K24" s="3"/>
      <c r="L24" s="11" t="s">
        <v>18</v>
      </c>
      <c r="M24" s="22"/>
      <c r="N24" s="22">
        <f t="shared" si="1"/>
        <v>216.53316173524149</v>
      </c>
      <c r="O24" s="22"/>
      <c r="P24" s="22"/>
      <c r="Q24" s="3"/>
      <c r="R24" s="3"/>
      <c r="S24" s="11" t="s">
        <v>18</v>
      </c>
      <c r="T24" s="22"/>
      <c r="U24" s="22">
        <f t="shared" si="2"/>
        <v>349.10553224352492</v>
      </c>
      <c r="V24" s="22"/>
      <c r="W24" s="22"/>
    </row>
    <row r="25" spans="1:23" x14ac:dyDescent="0.2">
      <c r="E25" s="11" t="s">
        <v>19</v>
      </c>
      <c r="F25" s="22"/>
      <c r="G25" s="22">
        <f t="shared" si="0"/>
        <v>88.960791226958065</v>
      </c>
      <c r="H25" s="22"/>
      <c r="I25" s="22"/>
      <c r="J25" s="3"/>
      <c r="K25" s="3"/>
      <c r="L25" s="11" t="s">
        <v>19</v>
      </c>
      <c r="M25" s="22"/>
      <c r="N25" s="22">
        <f t="shared" si="1"/>
        <v>216.53316173524149</v>
      </c>
      <c r="O25" s="22"/>
      <c r="P25" s="22"/>
      <c r="Q25" s="3"/>
      <c r="R25" s="3"/>
      <c r="S25" s="11" t="s">
        <v>19</v>
      </c>
      <c r="T25" s="22"/>
      <c r="U25" s="22">
        <f t="shared" si="2"/>
        <v>349.10553224352492</v>
      </c>
      <c r="V25" s="22"/>
      <c r="W25" s="22"/>
    </row>
    <row r="26" spans="1:23" x14ac:dyDescent="0.2">
      <c r="E26" s="11" t="s">
        <v>20</v>
      </c>
      <c r="F26" s="22"/>
      <c r="G26" s="22">
        <f t="shared" si="0"/>
        <v>88.960791226958065</v>
      </c>
      <c r="H26" s="22"/>
      <c r="I26" s="22"/>
      <c r="J26" s="3"/>
      <c r="K26" s="3"/>
      <c r="L26" s="11" t="s">
        <v>20</v>
      </c>
      <c r="M26" s="22"/>
      <c r="N26" s="22">
        <f t="shared" si="1"/>
        <v>216.53316173524149</v>
      </c>
      <c r="O26" s="22"/>
      <c r="P26" s="22"/>
      <c r="S26" s="11" t="s">
        <v>20</v>
      </c>
      <c r="T26" s="22"/>
      <c r="U26" s="22">
        <f t="shared" si="2"/>
        <v>349.10553224352492</v>
      </c>
      <c r="V26" s="22"/>
      <c r="W26" s="22"/>
    </row>
    <row r="27" spans="1:23" x14ac:dyDescent="0.2">
      <c r="E27" s="9" t="s">
        <v>21</v>
      </c>
      <c r="F27" s="44"/>
      <c r="G27" s="44">
        <f>SUM(G17:G26)*12</f>
        <v>10675.294947234966</v>
      </c>
      <c r="H27" s="44"/>
      <c r="I27" s="44"/>
      <c r="J27" s="12"/>
      <c r="K27" s="12"/>
      <c r="L27" s="12"/>
      <c r="M27" s="44"/>
      <c r="N27" s="44">
        <f>SUM(N17:N26)*12</f>
        <v>25983.979408228981</v>
      </c>
      <c r="O27" s="44"/>
      <c r="P27" s="44"/>
      <c r="S27" s="12"/>
      <c r="T27" s="44"/>
      <c r="U27" s="44">
        <f>SUM(U17:U26)*12</f>
        <v>41892.66386922299</v>
      </c>
      <c r="V27" s="44"/>
      <c r="W27" s="44"/>
    </row>
    <row r="28" spans="1:23" ht="16" thickBot="1" x14ac:dyDescent="0.25">
      <c r="G28" s="13"/>
      <c r="H28" s="3"/>
      <c r="I28" s="3"/>
      <c r="J28" s="3"/>
      <c r="K28" s="3"/>
      <c r="L28" s="3"/>
      <c r="M28" s="3"/>
      <c r="N28" s="3"/>
      <c r="O28" s="3"/>
      <c r="P28" s="3"/>
      <c r="S28" s="3"/>
      <c r="T28" s="22"/>
      <c r="U28" s="22"/>
      <c r="V28" s="22"/>
      <c r="W28" s="22"/>
    </row>
    <row r="29" spans="1:23" ht="16" thickBot="1" x14ac:dyDescent="0.25">
      <c r="F29" s="17" t="s">
        <v>54</v>
      </c>
      <c r="G29" s="45">
        <f>G27-H27</f>
        <v>10675.294947234966</v>
      </c>
      <c r="I29" s="3"/>
      <c r="J29" s="3"/>
      <c r="K29" s="3"/>
      <c r="M29" s="17" t="s">
        <v>54</v>
      </c>
      <c r="N29" s="45">
        <f>N27-O27</f>
        <v>25983.979408228981</v>
      </c>
      <c r="P29" s="3"/>
      <c r="T29" s="17" t="s">
        <v>54</v>
      </c>
      <c r="U29" s="45">
        <f>U27-V27</f>
        <v>41892.66386922299</v>
      </c>
      <c r="W29" s="22"/>
    </row>
    <row r="30" spans="1:23" x14ac:dyDescent="0.2">
      <c r="G30" s="28"/>
      <c r="H30" s="14"/>
      <c r="I30" s="14"/>
      <c r="J30" s="14"/>
      <c r="K30" s="14"/>
    </row>
    <row r="31" spans="1:23" x14ac:dyDescent="0.2">
      <c r="G31" s="3"/>
      <c r="U31" s="3"/>
    </row>
    <row r="32" spans="1:23" x14ac:dyDescent="0.2">
      <c r="U32" s="4"/>
      <c r="V32" s="2"/>
      <c r="W32" s="2"/>
    </row>
    <row r="35" spans="5:16" x14ac:dyDescent="0.2">
      <c r="F35" s="133"/>
      <c r="G35" s="133"/>
      <c r="H35" s="133"/>
      <c r="I35" s="133"/>
      <c r="M35" s="133"/>
      <c r="N35" s="133"/>
      <c r="O35" s="133"/>
      <c r="P35" s="133"/>
    </row>
    <row r="36" spans="5:16" x14ac:dyDescent="0.2">
      <c r="F36"/>
      <c r="G36" s="3"/>
      <c r="N36" s="3"/>
    </row>
    <row r="37" spans="5:16" x14ac:dyDescent="0.2">
      <c r="F37" s="50"/>
      <c r="G37" s="50"/>
      <c r="H37" s="50"/>
      <c r="I37" s="50"/>
      <c r="J37" s="3"/>
      <c r="M37" s="50"/>
      <c r="N37" s="50"/>
      <c r="O37" s="50"/>
      <c r="P37" s="50"/>
    </row>
    <row r="38" spans="5:16" x14ac:dyDescent="0.2">
      <c r="E38" s="52"/>
      <c r="F38" s="51"/>
      <c r="G38" s="51"/>
      <c r="H38" s="51"/>
      <c r="I38" s="51"/>
      <c r="J38" s="3"/>
      <c r="L38" s="39"/>
      <c r="M38" s="51"/>
      <c r="N38" s="51"/>
      <c r="O38" s="51"/>
      <c r="P38" s="51"/>
    </row>
    <row r="39" spans="5:16" x14ac:dyDescent="0.2">
      <c r="E39" s="52"/>
      <c r="F39" s="51"/>
      <c r="G39" s="51"/>
      <c r="H39" s="51"/>
      <c r="I39" s="51"/>
      <c r="J39" s="3"/>
      <c r="L39" s="39"/>
      <c r="M39" s="51"/>
      <c r="N39" s="51"/>
      <c r="O39" s="51"/>
      <c r="P39" s="51"/>
    </row>
    <row r="40" spans="5:16" x14ac:dyDescent="0.2">
      <c r="E40" s="52"/>
      <c r="F40" s="51"/>
      <c r="G40" s="51"/>
      <c r="H40" s="51"/>
      <c r="I40" s="51"/>
      <c r="L40" s="39"/>
      <c r="M40" s="51"/>
      <c r="N40" s="51"/>
      <c r="O40" s="51"/>
      <c r="P40" s="51"/>
    </row>
    <row r="41" spans="5:16" x14ac:dyDescent="0.2">
      <c r="E41" s="39"/>
      <c r="F41"/>
      <c r="G41" s="3"/>
      <c r="H41" s="3"/>
      <c r="L41" s="39"/>
      <c r="N41" s="3"/>
      <c r="O41" s="3"/>
    </row>
    <row r="42" spans="5:16" x14ac:dyDescent="0.2">
      <c r="F42"/>
      <c r="G42" s="3"/>
      <c r="N42" s="3"/>
    </row>
    <row r="43" spans="5:16" x14ac:dyDescent="0.2">
      <c r="F43"/>
      <c r="G43" s="3"/>
      <c r="N43" s="3"/>
    </row>
    <row r="44" spans="5:16" x14ac:dyDescent="0.2">
      <c r="F44" s="133"/>
      <c r="G44" s="133"/>
      <c r="H44" s="133"/>
      <c r="I44" s="133"/>
      <c r="M44" s="133"/>
      <c r="N44" s="133"/>
      <c r="O44" s="133"/>
      <c r="P44" s="133"/>
    </row>
    <row r="45" spans="5:16" x14ac:dyDescent="0.2">
      <c r="F45"/>
      <c r="G45" s="3"/>
      <c r="N45" s="3"/>
    </row>
    <row r="46" spans="5:16" x14ac:dyDescent="0.2">
      <c r="F46" s="50"/>
      <c r="G46" s="50"/>
      <c r="H46" s="50"/>
      <c r="I46" s="50"/>
      <c r="M46" s="50"/>
      <c r="N46" s="50"/>
      <c r="O46" s="50"/>
      <c r="P46" s="50"/>
    </row>
    <row r="47" spans="5:16" x14ac:dyDescent="0.2">
      <c r="E47" s="52"/>
      <c r="F47" s="51"/>
      <c r="G47" s="51"/>
      <c r="H47" s="51"/>
      <c r="I47" s="51"/>
      <c r="L47" s="39"/>
      <c r="M47" s="51"/>
      <c r="N47" s="51"/>
      <c r="O47" s="51"/>
      <c r="P47" s="51"/>
    </row>
    <row r="48" spans="5:16" x14ac:dyDescent="0.2">
      <c r="E48" s="52"/>
      <c r="F48" s="51"/>
      <c r="G48" s="51"/>
      <c r="H48" s="51"/>
      <c r="I48" s="51"/>
      <c r="L48" s="39"/>
      <c r="M48" s="51"/>
      <c r="N48" s="51"/>
      <c r="O48" s="51"/>
      <c r="P48" s="51"/>
    </row>
    <row r="49" spans="5:16" x14ac:dyDescent="0.2">
      <c r="E49" s="52"/>
      <c r="F49" s="51"/>
      <c r="G49" s="51"/>
      <c r="H49" s="51"/>
      <c r="I49" s="51"/>
      <c r="L49" s="39"/>
      <c r="M49" s="51"/>
      <c r="N49" s="51"/>
      <c r="O49" s="51"/>
      <c r="P49" s="51"/>
    </row>
    <row r="50" spans="5:16" x14ac:dyDescent="0.2">
      <c r="F50"/>
      <c r="G50" s="3"/>
    </row>
  </sheetData>
  <mergeCells count="8">
    <mergeCell ref="B9:C9"/>
    <mergeCell ref="F35:I35"/>
    <mergeCell ref="M35:P35"/>
    <mergeCell ref="F44:I44"/>
    <mergeCell ref="M44:P44"/>
    <mergeCell ref="F3:I3"/>
    <mergeCell ref="M3:P3"/>
    <mergeCell ref="T3:W3"/>
  </mergeCells>
  <conditionalFormatting sqref="G29 I29:K29 N29 P29">
    <cfRule type="cellIs" dxfId="9" priority="5" operator="lessThan">
      <formula>0</formula>
    </cfRule>
    <cfRule type="cellIs" dxfId="8" priority="6" operator="greaterThan">
      <formula>0</formula>
    </cfRule>
  </conditionalFormatting>
  <conditionalFormatting sqref="I17:K26">
    <cfRule type="cellIs" dxfId="7" priority="7" operator="equal">
      <formula>6500</formula>
    </cfRule>
  </conditionalFormatting>
  <conditionalFormatting sqref="P17:P26">
    <cfRule type="cellIs" dxfId="6" priority="4" operator="equal">
      <formula>6500</formula>
    </cfRule>
  </conditionalFormatting>
  <conditionalFormatting sqref="Q13:R22">
    <cfRule type="cellIs" dxfId="5" priority="9" operator="equal">
      <formula>6500</formula>
    </cfRule>
  </conditionalFormatting>
  <conditionalFormatting sqref="Q25:R25">
    <cfRule type="cellIs" dxfId="4" priority="13" operator="lessThan">
      <formula>0</formula>
    </cfRule>
    <cfRule type="cellIs" dxfId="3" priority="14" operator="greaterThan">
      <formula>0</formula>
    </cfRule>
  </conditionalFormatting>
  <conditionalFormatting sqref="U29">
    <cfRule type="cellIs" dxfId="2" priority="2" operator="lessThan">
      <formula>0</formula>
    </cfRule>
    <cfRule type="cellIs" dxfId="1" priority="3" operator="greaterThan">
      <formula>0</formula>
    </cfRule>
  </conditionalFormatting>
  <conditionalFormatting sqref="W17:W26">
    <cfRule type="cellIs" dxfId="0" priority="1" operator="equal">
      <formula>6500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08C0-0F57-A64D-A7D3-C6A4D2E9CD89}">
  <sheetPr>
    <tabColor theme="6" tint="0.79998168889431442"/>
  </sheetPr>
  <dimension ref="A1"/>
  <sheetViews>
    <sheetView workbookViewId="0"/>
  </sheetViews>
  <sheetFormatPr baseColWidth="10" defaultRowHeight="15"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3962-C10D-F440-9645-53C1F8F49364}">
  <dimension ref="A1:F78"/>
  <sheetViews>
    <sheetView topLeftCell="A9" zoomScale="114" workbookViewId="0">
      <selection activeCell="E13" sqref="E13"/>
    </sheetView>
  </sheetViews>
  <sheetFormatPr baseColWidth="10" defaultRowHeight="15" x14ac:dyDescent="0.2"/>
  <cols>
    <col min="1" max="1" width="41.1640625" style="83" customWidth="1"/>
    <col min="2" max="2" width="16" style="83" customWidth="1"/>
    <col min="3" max="3" width="10.83203125" customWidth="1"/>
    <col min="4" max="4" width="10.83203125" style="91"/>
  </cols>
  <sheetData>
    <row r="1" spans="1:6" x14ac:dyDescent="0.2">
      <c r="A1" s="9" t="s">
        <v>60</v>
      </c>
      <c r="B1" s="94" t="s">
        <v>72</v>
      </c>
      <c r="C1" s="1" t="s">
        <v>73</v>
      </c>
      <c r="D1" s="115" t="s">
        <v>53</v>
      </c>
    </row>
    <row r="2" spans="1:6" x14ac:dyDescent="0.2">
      <c r="A2" s="91" t="s">
        <v>67</v>
      </c>
      <c r="B2" s="10">
        <v>1369.06</v>
      </c>
      <c r="C2" s="11"/>
    </row>
    <row r="3" spans="1:6" x14ac:dyDescent="0.2">
      <c r="A3" s="91" t="s">
        <v>68</v>
      </c>
      <c r="B3" s="10">
        <v>1995.8</v>
      </c>
      <c r="C3" s="11"/>
    </row>
    <row r="4" spans="1:6" x14ac:dyDescent="0.2">
      <c r="A4" s="91" t="s">
        <v>69</v>
      </c>
      <c r="B4" s="10">
        <v>1530.21</v>
      </c>
      <c r="C4" s="11"/>
    </row>
    <row r="5" spans="1:6" x14ac:dyDescent="0.2">
      <c r="A5" s="91" t="s">
        <v>70</v>
      </c>
      <c r="B5" s="10">
        <v>2094.98</v>
      </c>
      <c r="C5" s="11"/>
    </row>
    <row r="6" spans="1:6" ht="16" x14ac:dyDescent="0.2">
      <c r="A6" s="78"/>
      <c r="B6" s="9"/>
      <c r="C6" s="11"/>
    </row>
    <row r="7" spans="1:6" ht="16" x14ac:dyDescent="0.2">
      <c r="A7" s="79" t="s">
        <v>71</v>
      </c>
      <c r="B7" s="9"/>
      <c r="C7" s="9"/>
      <c r="D7" s="115"/>
      <c r="F7" s="9"/>
    </row>
    <row r="8" spans="1:6" x14ac:dyDescent="0.2">
      <c r="A8" s="91" t="s">
        <v>61</v>
      </c>
      <c r="B8" s="92">
        <f>B2*1.25</f>
        <v>1711.3249999999998</v>
      </c>
      <c r="C8" s="10" t="s">
        <v>52</v>
      </c>
      <c r="D8" s="121" t="s">
        <v>52</v>
      </c>
    </row>
    <row r="9" spans="1:6" x14ac:dyDescent="0.2">
      <c r="A9" s="91" t="s">
        <v>62</v>
      </c>
      <c r="B9" s="92">
        <f t="shared" ref="B9:B11" si="0">B3*1.25</f>
        <v>2494.75</v>
      </c>
      <c r="C9" s="10" t="s">
        <v>52</v>
      </c>
      <c r="D9" s="121" t="s">
        <v>52</v>
      </c>
    </row>
    <row r="10" spans="1:6" x14ac:dyDescent="0.2">
      <c r="A10" s="91" t="s">
        <v>63</v>
      </c>
      <c r="B10" s="92">
        <f t="shared" si="0"/>
        <v>1912.7625</v>
      </c>
      <c r="C10" s="10" t="s">
        <v>52</v>
      </c>
      <c r="D10" s="121" t="s">
        <v>52</v>
      </c>
    </row>
    <row r="11" spans="1:6" x14ac:dyDescent="0.2">
      <c r="A11" s="91" t="s">
        <v>64</v>
      </c>
      <c r="B11" s="92">
        <f t="shared" si="0"/>
        <v>2618.7249999999999</v>
      </c>
      <c r="C11" s="10" t="s">
        <v>52</v>
      </c>
      <c r="D11" s="121" t="s">
        <v>52</v>
      </c>
    </row>
    <row r="12" spans="1:6" ht="16" x14ac:dyDescent="0.2">
      <c r="A12" s="78"/>
      <c r="B12" s="10"/>
      <c r="C12" s="10"/>
    </row>
    <row r="13" spans="1:6" ht="16" x14ac:dyDescent="0.2">
      <c r="A13" s="78"/>
      <c r="B13" s="10"/>
      <c r="C13" s="10"/>
    </row>
    <row r="14" spans="1:6" ht="16" x14ac:dyDescent="0.2">
      <c r="A14" s="79" t="s">
        <v>37</v>
      </c>
      <c r="B14" s="12"/>
      <c r="C14" s="10"/>
    </row>
    <row r="15" spans="1:6" x14ac:dyDescent="0.2">
      <c r="A15" s="91" t="s">
        <v>38</v>
      </c>
      <c r="B15" s="92">
        <f>B2*1.5</f>
        <v>2053.59</v>
      </c>
      <c r="C15" s="10">
        <f>B15-B8</f>
        <v>342.26500000000033</v>
      </c>
      <c r="D15" s="122">
        <f>C15/2</f>
        <v>171.13250000000016</v>
      </c>
      <c r="F15" s="3"/>
    </row>
    <row r="16" spans="1:6" x14ac:dyDescent="0.2">
      <c r="A16" s="91" t="s">
        <v>39</v>
      </c>
      <c r="B16" s="92">
        <f t="shared" ref="B16:B18" si="1">B3*1.5</f>
        <v>2993.7</v>
      </c>
      <c r="C16" s="10">
        <f t="shared" ref="C16:C18" si="2">B16-B9</f>
        <v>498.94999999999982</v>
      </c>
      <c r="D16" s="122">
        <f t="shared" ref="D16:D32" si="3">C16/2</f>
        <v>249.47499999999991</v>
      </c>
      <c r="F16" s="3"/>
    </row>
    <row r="17" spans="1:6" x14ac:dyDescent="0.2">
      <c r="A17" s="91" t="s">
        <v>40</v>
      </c>
      <c r="B17" s="92">
        <f t="shared" si="1"/>
        <v>2295.3150000000001</v>
      </c>
      <c r="C17" s="10">
        <f t="shared" si="2"/>
        <v>382.55250000000001</v>
      </c>
      <c r="D17" s="122">
        <f t="shared" si="3"/>
        <v>191.27625</v>
      </c>
      <c r="F17" s="3"/>
    </row>
    <row r="18" spans="1:6" x14ac:dyDescent="0.2">
      <c r="A18" s="91" t="s">
        <v>41</v>
      </c>
      <c r="B18" s="92">
        <f t="shared" si="1"/>
        <v>3142.4700000000003</v>
      </c>
      <c r="C18" s="10">
        <f t="shared" si="2"/>
        <v>523.74500000000035</v>
      </c>
      <c r="D18" s="122">
        <f t="shared" si="3"/>
        <v>261.87250000000017</v>
      </c>
      <c r="F18" s="3"/>
    </row>
    <row r="19" spans="1:6" ht="16" x14ac:dyDescent="0.2">
      <c r="A19" s="78"/>
      <c r="B19" s="10"/>
      <c r="C19" s="10"/>
      <c r="D19" s="116"/>
    </row>
    <row r="20" spans="1:6" ht="16" x14ac:dyDescent="0.2">
      <c r="A20" s="78"/>
      <c r="B20" s="10"/>
      <c r="C20" s="10"/>
      <c r="D20" s="116"/>
    </row>
    <row r="21" spans="1:6" ht="16" x14ac:dyDescent="0.2">
      <c r="A21" s="79" t="s">
        <v>42</v>
      </c>
      <c r="B21" s="10"/>
      <c r="C21" s="10"/>
      <c r="D21" s="116"/>
    </row>
    <row r="22" spans="1:6" x14ac:dyDescent="0.2">
      <c r="A22" s="91" t="s">
        <v>43</v>
      </c>
      <c r="B22" s="10">
        <f>B2*1.75</f>
        <v>2395.855</v>
      </c>
      <c r="C22" s="10">
        <f>B22-B8</f>
        <v>684.5300000000002</v>
      </c>
      <c r="D22" s="122">
        <f t="shared" si="3"/>
        <v>342.2650000000001</v>
      </c>
    </row>
    <row r="23" spans="1:6" x14ac:dyDescent="0.2">
      <c r="A23" s="91" t="s">
        <v>44</v>
      </c>
      <c r="B23" s="10">
        <f t="shared" ref="B23:B25" si="4">B3*1.75</f>
        <v>3492.65</v>
      </c>
      <c r="C23" s="10">
        <f t="shared" ref="C23:C25" si="5">B23-B9</f>
        <v>997.90000000000009</v>
      </c>
      <c r="D23" s="122">
        <f t="shared" si="3"/>
        <v>498.95000000000005</v>
      </c>
    </row>
    <row r="24" spans="1:6" x14ac:dyDescent="0.2">
      <c r="A24" s="91" t="s">
        <v>45</v>
      </c>
      <c r="B24" s="10">
        <f t="shared" si="4"/>
        <v>2677.8675000000003</v>
      </c>
      <c r="C24" s="10">
        <f t="shared" si="5"/>
        <v>765.10500000000025</v>
      </c>
      <c r="D24" s="122">
        <f t="shared" si="3"/>
        <v>382.55250000000012</v>
      </c>
    </row>
    <row r="25" spans="1:6" x14ac:dyDescent="0.2">
      <c r="A25" s="91" t="s">
        <v>46</v>
      </c>
      <c r="B25" s="10">
        <f t="shared" si="4"/>
        <v>3666.2150000000001</v>
      </c>
      <c r="C25" s="10">
        <f t="shared" si="5"/>
        <v>1047.4900000000002</v>
      </c>
      <c r="D25" s="122">
        <f t="shared" si="3"/>
        <v>523.74500000000012</v>
      </c>
    </row>
    <row r="26" spans="1:6" x14ac:dyDescent="0.2">
      <c r="B26" s="10"/>
      <c r="C26" s="10"/>
      <c r="D26" s="116"/>
    </row>
    <row r="27" spans="1:6" ht="16" x14ac:dyDescent="0.2">
      <c r="A27" s="78"/>
      <c r="B27" s="10"/>
      <c r="C27" s="10"/>
      <c r="D27" s="116"/>
    </row>
    <row r="28" spans="1:6" ht="16" x14ac:dyDescent="0.2">
      <c r="A28" s="79" t="s">
        <v>47</v>
      </c>
      <c r="B28" s="10"/>
      <c r="C28" s="10"/>
      <c r="D28" s="116"/>
    </row>
    <row r="29" spans="1:6" x14ac:dyDescent="0.2">
      <c r="A29" s="91" t="s">
        <v>48</v>
      </c>
      <c r="B29" s="10">
        <f>B2*2</f>
        <v>2738.12</v>
      </c>
      <c r="C29" s="10">
        <f>B29-B8</f>
        <v>1026.7950000000001</v>
      </c>
      <c r="D29" s="122">
        <f t="shared" si="3"/>
        <v>513.39750000000004</v>
      </c>
    </row>
    <row r="30" spans="1:6" x14ac:dyDescent="0.2">
      <c r="A30" s="91" t="s">
        <v>49</v>
      </c>
      <c r="B30" s="10">
        <f t="shared" ref="B30:B32" si="6">B3*2</f>
        <v>3991.6</v>
      </c>
      <c r="C30" s="10">
        <f t="shared" ref="C30:C32" si="7">B30-B9</f>
        <v>1496.85</v>
      </c>
      <c r="D30" s="122">
        <f t="shared" si="3"/>
        <v>748.42499999999995</v>
      </c>
    </row>
    <row r="31" spans="1:6" x14ac:dyDescent="0.2">
      <c r="A31" s="91" t="s">
        <v>50</v>
      </c>
      <c r="B31" s="10">
        <f t="shared" si="6"/>
        <v>3060.42</v>
      </c>
      <c r="C31" s="10">
        <f t="shared" si="7"/>
        <v>1147.6575</v>
      </c>
      <c r="D31" s="122">
        <f t="shared" si="3"/>
        <v>573.82875000000001</v>
      </c>
    </row>
    <row r="32" spans="1:6" x14ac:dyDescent="0.2">
      <c r="A32" s="91" t="s">
        <v>51</v>
      </c>
      <c r="B32" s="10">
        <f t="shared" si="6"/>
        <v>4189.96</v>
      </c>
      <c r="C32" s="10">
        <f t="shared" si="7"/>
        <v>1571.2350000000001</v>
      </c>
      <c r="D32" s="122">
        <f t="shared" si="3"/>
        <v>785.61750000000006</v>
      </c>
    </row>
    <row r="33" spans="1:3" ht="16" x14ac:dyDescent="0.2">
      <c r="A33" s="78"/>
      <c r="B33" s="93"/>
      <c r="C33" s="11"/>
    </row>
    <row r="34" spans="1:3" ht="16" x14ac:dyDescent="0.2">
      <c r="A34" s="78"/>
      <c r="B34" s="93"/>
      <c r="C34" s="11"/>
    </row>
    <row r="35" spans="1:3" ht="16" x14ac:dyDescent="0.2">
      <c r="A35" s="78"/>
      <c r="B35" s="78"/>
    </row>
    <row r="42" spans="1:3" ht="16" x14ac:dyDescent="0.2">
      <c r="A42" s="79"/>
      <c r="B42" s="78"/>
    </row>
    <row r="43" spans="1:3" ht="16" x14ac:dyDescent="0.2">
      <c r="A43" s="80"/>
      <c r="B43" s="80"/>
    </row>
    <row r="44" spans="1:3" ht="16" x14ac:dyDescent="0.2">
      <c r="A44" s="78"/>
      <c r="B44" s="81"/>
    </row>
    <row r="45" spans="1:3" ht="16" x14ac:dyDescent="0.2">
      <c r="A45" s="78"/>
      <c r="B45" s="82"/>
    </row>
    <row r="46" spans="1:3" ht="16" x14ac:dyDescent="0.2">
      <c r="A46" s="78"/>
      <c r="B46" s="82"/>
    </row>
    <row r="47" spans="1:3" ht="16" x14ac:dyDescent="0.2">
      <c r="A47" s="78"/>
      <c r="B47" s="82"/>
    </row>
    <row r="48" spans="1:3" ht="16" x14ac:dyDescent="0.2">
      <c r="A48" s="78"/>
      <c r="B48" s="81"/>
    </row>
    <row r="49" spans="1:2" ht="16" x14ac:dyDescent="0.2">
      <c r="A49" s="78"/>
      <c r="B49" s="81"/>
    </row>
    <row r="50" spans="1:2" ht="16" x14ac:dyDescent="0.2">
      <c r="A50" s="78"/>
      <c r="B50" s="78"/>
    </row>
    <row r="57" spans="1:2" ht="16" x14ac:dyDescent="0.2">
      <c r="A57" s="79"/>
      <c r="B57" s="78"/>
    </row>
    <row r="58" spans="1:2" ht="16" x14ac:dyDescent="0.2">
      <c r="A58" s="80"/>
      <c r="B58" s="80"/>
    </row>
    <row r="59" spans="1:2" ht="16" x14ac:dyDescent="0.2">
      <c r="A59" s="78"/>
      <c r="B59" s="82"/>
    </row>
    <row r="60" spans="1:2" ht="16" x14ac:dyDescent="0.2">
      <c r="A60" s="78"/>
      <c r="B60" s="82"/>
    </row>
    <row r="61" spans="1:2" ht="16" x14ac:dyDescent="0.2">
      <c r="A61" s="78"/>
      <c r="B61" s="81"/>
    </row>
    <row r="62" spans="1:2" ht="16" x14ac:dyDescent="0.2">
      <c r="A62" s="78"/>
      <c r="B62" s="81"/>
    </row>
    <row r="63" spans="1:2" ht="16" x14ac:dyDescent="0.2">
      <c r="A63" s="78"/>
      <c r="B63" s="81"/>
    </row>
    <row r="64" spans="1:2" ht="16" x14ac:dyDescent="0.2">
      <c r="A64" s="78"/>
      <c r="B64" s="82"/>
    </row>
    <row r="65" spans="1:2" ht="16" x14ac:dyDescent="0.2">
      <c r="B65" s="78"/>
    </row>
    <row r="66" spans="1:2" ht="16" x14ac:dyDescent="0.2">
      <c r="B66" s="78"/>
    </row>
    <row r="67" spans="1:2" ht="16" x14ac:dyDescent="0.2">
      <c r="A67" s="78"/>
      <c r="B67" s="78"/>
    </row>
    <row r="68" spans="1:2" ht="16" x14ac:dyDescent="0.2">
      <c r="B68" s="78"/>
    </row>
    <row r="69" spans="1:2" ht="16" x14ac:dyDescent="0.2">
      <c r="A69" s="78"/>
      <c r="B69" s="78"/>
    </row>
    <row r="70" spans="1:2" ht="16" x14ac:dyDescent="0.2">
      <c r="A70" s="84"/>
      <c r="B70" s="78"/>
    </row>
    <row r="71" spans="1:2" ht="16" x14ac:dyDescent="0.2">
      <c r="A71" s="84"/>
      <c r="B71" s="78"/>
    </row>
    <row r="72" spans="1:2" ht="16" x14ac:dyDescent="0.2">
      <c r="A72" s="78"/>
      <c r="B72" s="78"/>
    </row>
    <row r="73" spans="1:2" ht="16" x14ac:dyDescent="0.2">
      <c r="A73" s="78"/>
      <c r="B73" s="78"/>
    </row>
    <row r="74" spans="1:2" ht="16" x14ac:dyDescent="0.2">
      <c r="A74" s="78"/>
      <c r="B74" s="78"/>
    </row>
    <row r="75" spans="1:2" ht="16" x14ac:dyDescent="0.2">
      <c r="B75" s="78"/>
    </row>
    <row r="76" spans="1:2" ht="16" x14ac:dyDescent="0.2">
      <c r="B76" s="78"/>
    </row>
    <row r="77" spans="1:2" ht="16" x14ac:dyDescent="0.2">
      <c r="B77" s="78"/>
    </row>
    <row r="78" spans="1:2" ht="16" x14ac:dyDescent="0.2">
      <c r="B78" s="7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c025f04-a43f-4c85-8389-9e16becf814f" xsi:nil="true"/>
    <lcf76f155ced4ddcb4097134ff3c332f xmlns="833d156f-d915-481e-9200-61dc00a283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19D33F74886DD4DBE149F4FB8BE2D6F" ma:contentTypeVersion="13" ma:contentTypeDescription="Een nieuw document maken." ma:contentTypeScope="" ma:versionID="0d1ec8395759fffe0c9bb47f102490b0">
  <xsd:schema xmlns:xsd="http://www.w3.org/2001/XMLSchema" xmlns:xs="http://www.w3.org/2001/XMLSchema" xmlns:p="http://schemas.microsoft.com/office/2006/metadata/properties" xmlns:ns2="833d156f-d915-481e-9200-61dc00a2839d" xmlns:ns3="ac025f04-a43f-4c85-8389-9e16becf814f" targetNamespace="http://schemas.microsoft.com/office/2006/metadata/properties" ma:root="true" ma:fieldsID="cafffd02d77fdbcb2a7d95eb4a696756" ns2:_="" ns3:_="">
    <xsd:import namespace="833d156f-d915-481e-9200-61dc00a2839d"/>
    <xsd:import namespace="ac025f04-a43f-4c85-8389-9e16becf814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3d156f-d915-481e-9200-61dc00a283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6293b553-afb1-40e4-80db-8ae645cb8e7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c025f04-a43f-4c85-8389-9e16becf814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70cfb1d-ad31-4e3c-8a0b-62217d07da24}" ma:internalName="TaxCatchAll" ma:showField="CatchAllData" ma:web="ac025f04-a43f-4c85-8389-9e16becf8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FC5C55-D3A9-4A09-AC64-CA72CE209B1B}">
  <ds:schemaRefs>
    <ds:schemaRef ds:uri="http://purl.org/dc/elements/1.1/"/>
    <ds:schemaRef ds:uri="http://schemas.microsoft.com/office/2006/metadata/properties"/>
    <ds:schemaRef ds:uri="http://purl.org/dc/dcmitype/"/>
    <ds:schemaRef ds:uri="http://schemas.microsoft.com/office/2006/documentManagement/types"/>
    <ds:schemaRef ds:uri="833d156f-d915-481e-9200-61dc00a2839d"/>
    <ds:schemaRef ds:uri="http://www.w3.org/XML/1998/namespace"/>
    <ds:schemaRef ds:uri="ac025f04-a43f-4c85-8389-9e16becf814f"/>
    <ds:schemaRef ds:uri="http://purl.org/dc/term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3EDF68D0-ACA5-4C40-89EF-961D48526E1A}">
  <ds:schemaRefs>
    <ds:schemaRef ds:uri="http://schemas.microsoft.com/sharepoint/v3/contenttype/forms"/>
  </ds:schemaRefs>
</ds:datastoreItem>
</file>

<file path=customXml/itemProps3.xml><?xml version="1.0" encoding="utf-8"?>
<ds:datastoreItem xmlns:ds="http://schemas.openxmlformats.org/officeDocument/2006/customXml" ds:itemID="{FAF39D4E-7F65-4C5F-A440-36A74783F6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3d156f-d915-481e-9200-61dc00a2839d"/>
    <ds:schemaRef ds:uri="ac025f04-a43f-4c85-8389-9e16becf8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8</vt:i4>
      </vt:variant>
    </vt:vector>
  </HeadingPairs>
  <TitlesOfParts>
    <vt:vector size="8" baseType="lpstr">
      <vt:lpstr>VOORBLAD</vt:lpstr>
      <vt:lpstr>Hoofdblad</vt:lpstr>
      <vt:lpstr>LASTEN</vt:lpstr>
      <vt:lpstr>Stadspas</vt:lpstr>
      <vt:lpstr>Ledenlening</vt:lpstr>
      <vt:lpstr>Overig</vt:lpstr>
      <vt:lpstr>DRAAGKRACHT</vt:lpstr>
      <vt:lpstr>Draagkrachtberekening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Feith, Vincent</dc:creator>
  <cp:keywords/>
  <dc:description/>
  <cp:lastModifiedBy>Mees van Tooren | Klimaatwerk</cp:lastModifiedBy>
  <cp:revision/>
  <dcterms:created xsi:type="dcterms:W3CDTF">2025-09-24T13:09:45Z</dcterms:created>
  <dcterms:modified xsi:type="dcterms:W3CDTF">2025-11-10T18:51:04Z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0x010100F19D33F74886DD4DBE149F4FB8BE2D6F</vt:lpwstr>
  </property>
  <property fmtid="{D5CDD505-2E9C-101B-9397-08002B2CF9AE}" pid="3" name="MediaServiceImageTags">
    <vt:lpwstr/>
  </property>
</Properties>
</file>