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2"/>
  <workbookPr/>
  <mc:AlternateContent xmlns:mc="http://schemas.openxmlformats.org/markup-compatibility/2006">
    <mc:Choice Requires="x15">
      <x15ac:absPath xmlns:x15ac="http://schemas.microsoft.com/office/spreadsheetml/2010/11/ac" url="https://klimaatwerk.sharepoint.com/Gedeelde documenten/0 Projecten/Lopend/006_VvE Vangnet 3_BZK_2024/03 Werkdocumenten/NWF/"/>
    </mc:Choice>
  </mc:AlternateContent>
  <xr:revisionPtr revIDLastSave="1580" documentId="8_{46977857-8B4C-FB41-9B05-63759CA77D87}" xr6:coauthVersionLast="47" xr6:coauthVersionMax="47" xr10:uidLastSave="{10055EF1-B5EA-8F49-9393-DD4BCB8E95E1}"/>
  <bookViews>
    <workbookView xWindow="2600" yWindow="660" windowWidth="26800" windowHeight="17200" firstSheet="1" activeTab="7" xr2:uid="{6CB0368E-CF87-46A9-9725-218B61D1BE1A}"/>
  </bookViews>
  <sheets>
    <sheet name="EERST LEZEN" sheetId="13" r:id="rId1"/>
    <sheet name="Input" sheetId="18" r:id="rId2"/>
    <sheet name="Output - grote VvE's" sheetId="8" r:id="rId3"/>
    <sheet name="Output - kleine VvE's" sheetId="15" r:id="rId4"/>
    <sheet name="Aannames over draagkracht" sheetId="12" r:id="rId5"/>
    <sheet name="BEREKENINGEN HIERNA" sheetId="16" r:id="rId6"/>
    <sheet name="Aanv. subsidie + ledenlening" sheetId="5" r:id="rId7"/>
    <sheet name="Aanv. subsidie" sheetId="17" r:id="rId8"/>
    <sheet name="Ledenlening" sheetId="6" r:id="rId9"/>
    <sheet name="Overig" sheetId="7"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0" i="5" l="1" a="1"/>
  <c r="Z20" i="5" s="1"/>
  <c r="Z21" i="5" a="1"/>
  <c r="Z21" i="5"/>
  <c r="Z22" i="5" a="1"/>
  <c r="Z22" i="5"/>
  <c r="Z23" i="5" a="1"/>
  <c r="Z23" i="5" s="1"/>
  <c r="Z24" i="5" a="1"/>
  <c r="Z24" i="5" s="1"/>
  <c r="Z25" i="5" a="1"/>
  <c r="Z25" i="5"/>
  <c r="Z26" i="5" a="1"/>
  <c r="Z26" i="5"/>
  <c r="Z27" i="5" a="1"/>
  <c r="Z27" i="5"/>
  <c r="Z28" i="5" a="1"/>
  <c r="Z28" i="5" s="1"/>
  <c r="Z19" i="5" a="1"/>
  <c r="Z19" i="5" s="1"/>
  <c r="R20" i="5" a="1"/>
  <c r="R20" i="5" s="1"/>
  <c r="R21" i="5" a="1"/>
  <c r="R21" i="5"/>
  <c r="R22" i="5" a="1"/>
  <c r="R22" i="5"/>
  <c r="R23" i="5" a="1"/>
  <c r="R23" i="5"/>
  <c r="R24" i="5" a="1"/>
  <c r="R24" i="5" s="1"/>
  <c r="R25" i="5" a="1"/>
  <c r="R25" i="5"/>
  <c r="R26" i="5" a="1"/>
  <c r="R26" i="5"/>
  <c r="R27" i="5" a="1"/>
  <c r="R27" i="5" s="1"/>
  <c r="R28" i="5" a="1"/>
  <c r="R28" i="5" s="1"/>
  <c r="R19" i="5" a="1"/>
  <c r="R19" i="5" s="1"/>
  <c r="J28" i="5" a="1"/>
  <c r="J28" i="5" s="1"/>
  <c r="J27" i="5" a="1"/>
  <c r="J27" i="5"/>
  <c r="J26" i="5" a="1"/>
  <c r="J26" i="5"/>
  <c r="J25" i="5" a="1"/>
  <c r="J25" i="5"/>
  <c r="J24" i="5" a="1"/>
  <c r="J24" i="5" s="1"/>
  <c r="J23" i="5" a="1"/>
  <c r="J23" i="5"/>
  <c r="J22" i="5" a="1"/>
  <c r="J22" i="5" s="1"/>
  <c r="J21" i="5" a="1"/>
  <c r="J21" i="5"/>
  <c r="J20" i="5" a="1"/>
  <c r="J20" i="5" s="1"/>
  <c r="J19" i="5" a="1"/>
  <c r="J19" i="5" s="1"/>
  <c r="S39" i="15"/>
  <c r="S29" i="15"/>
  <c r="S19" i="15"/>
  <c r="S9" i="15"/>
  <c r="S39" i="8"/>
  <c r="S29" i="8"/>
  <c r="S19" i="8"/>
  <c r="S9" i="8"/>
  <c r="W28" i="18"/>
  <c r="W18" i="18"/>
  <c r="B43" i="15"/>
  <c r="B42" i="15"/>
  <c r="B41" i="15"/>
  <c r="B33" i="15"/>
  <c r="B32" i="15"/>
  <c r="B31" i="15"/>
  <c r="B23" i="15"/>
  <c r="B22" i="15"/>
  <c r="B21" i="15"/>
  <c r="B13" i="15"/>
  <c r="F32" i="18" s="1"/>
  <c r="B12" i="15"/>
  <c r="F31" i="18" s="1"/>
  <c r="B11" i="15"/>
  <c r="F30" i="18" s="1"/>
  <c r="T13" i="6"/>
  <c r="M13" i="6"/>
  <c r="F13" i="6"/>
  <c r="V12" i="5"/>
  <c r="N12" i="5"/>
  <c r="F12" i="5"/>
  <c r="C14" i="17" l="1"/>
  <c r="C13" i="17"/>
  <c r="C12" i="17"/>
  <c r="C11" i="17"/>
  <c r="C10" i="17"/>
  <c r="C9" i="17"/>
  <c r="C6" i="17"/>
  <c r="C5" i="17"/>
  <c r="V4" i="17"/>
  <c r="N4" i="17"/>
  <c r="F4" i="17"/>
  <c r="C4" i="17"/>
  <c r="V3" i="17"/>
  <c r="N3" i="17"/>
  <c r="F3" i="17"/>
  <c r="C3" i="17"/>
  <c r="D36" i="12"/>
  <c r="D37" i="12"/>
  <c r="D38" i="12"/>
  <c r="D35" i="12"/>
  <c r="T5" i="7"/>
  <c r="T4" i="7"/>
  <c r="C15" i="7"/>
  <c r="C14" i="7"/>
  <c r="C13" i="7"/>
  <c r="C12" i="7"/>
  <c r="C11" i="7"/>
  <c r="C10" i="7"/>
  <c r="C6" i="7"/>
  <c r="M5" i="7"/>
  <c r="F5" i="7"/>
  <c r="C5" i="7"/>
  <c r="M4" i="7"/>
  <c r="F4" i="7"/>
  <c r="C4" i="7"/>
  <c r="T5" i="6"/>
  <c r="M5" i="6"/>
  <c r="T4" i="6"/>
  <c r="M4" i="6"/>
  <c r="C17" i="6"/>
  <c r="C16" i="6"/>
  <c r="C15" i="6"/>
  <c r="C14" i="6"/>
  <c r="C11" i="6"/>
  <c r="C10" i="6"/>
  <c r="F5" i="6"/>
  <c r="F4" i="6"/>
  <c r="C16" i="5"/>
  <c r="C15" i="5"/>
  <c r="C14" i="5"/>
  <c r="C13" i="5"/>
  <c r="C10" i="5"/>
  <c r="C9" i="5"/>
  <c r="C6" i="5"/>
  <c r="C5" i="5"/>
  <c r="V4" i="5"/>
  <c r="N4" i="5"/>
  <c r="F4" i="5"/>
  <c r="C4" i="5"/>
  <c r="V3" i="5"/>
  <c r="N3" i="5"/>
  <c r="F3" i="5"/>
  <c r="C3" i="5"/>
  <c r="N5" i="17" l="1"/>
  <c r="N6" i="17" s="1"/>
  <c r="N7" i="17" s="1"/>
  <c r="N8" i="17" s="1"/>
  <c r="V5" i="17"/>
  <c r="V6" i="17" s="1"/>
  <c r="V7" i="17" s="1"/>
  <c r="V8" i="17" s="1"/>
  <c r="F5" i="17"/>
  <c r="F6" i="17" s="1"/>
  <c r="T6" i="7"/>
  <c r="T7" i="7" s="1"/>
  <c r="T8" i="7" s="1"/>
  <c r="T9" i="7" s="1"/>
  <c r="F6" i="7"/>
  <c r="F7" i="7" s="1"/>
  <c r="F8" i="7" s="1"/>
  <c r="F9" i="7" s="1"/>
  <c r="M6" i="7"/>
  <c r="M7" i="7" s="1"/>
  <c r="M8" i="7" s="1"/>
  <c r="M9" i="7" s="1"/>
  <c r="V5" i="5"/>
  <c r="V6" i="5" s="1"/>
  <c r="V7" i="5" s="1"/>
  <c r="F5" i="5"/>
  <c r="F6" i="5" s="1"/>
  <c r="N5" i="5"/>
  <c r="N6" i="5" s="1"/>
  <c r="V9" i="17" l="1"/>
  <c r="V10" i="17" s="1"/>
  <c r="F9" i="17"/>
  <c r="F10" i="17" s="1"/>
  <c r="F7" i="17"/>
  <c r="F8" i="17" s="1"/>
  <c r="N9" i="17"/>
  <c r="N10" i="17" s="1"/>
  <c r="N12" i="17" s="1"/>
  <c r="N13" i="17" s="1"/>
  <c r="V12" i="17"/>
  <c r="V13" i="17" s="1"/>
  <c r="V8" i="5"/>
  <c r="V19" i="5" s="1"/>
  <c r="T10" i="7"/>
  <c r="F10" i="7"/>
  <c r="M10" i="7"/>
  <c r="V9" i="5"/>
  <c r="N7" i="5"/>
  <c r="N9" i="5"/>
  <c r="N10" i="5" s="1"/>
  <c r="F7" i="5"/>
  <c r="F9" i="5"/>
  <c r="F10" i="5" s="1"/>
  <c r="B30" i="12"/>
  <c r="B31" i="12"/>
  <c r="B32" i="12"/>
  <c r="B29" i="12"/>
  <c r="B23" i="12"/>
  <c r="B24" i="12"/>
  <c r="B25" i="12"/>
  <c r="B22" i="12"/>
  <c r="B16" i="12"/>
  <c r="B17" i="12"/>
  <c r="B18" i="12"/>
  <c r="B15" i="12"/>
  <c r="B9" i="12"/>
  <c r="B10" i="12"/>
  <c r="B11" i="12"/>
  <c r="C32" i="12" s="1"/>
  <c r="D32" i="12" s="1"/>
  <c r="B8" i="12"/>
  <c r="C15" i="12" s="1"/>
  <c r="D15" i="12" s="1"/>
  <c r="B43" i="8"/>
  <c r="B42" i="8"/>
  <c r="B41" i="8"/>
  <c r="B33" i="8"/>
  <c r="B32" i="8"/>
  <c r="B31" i="8"/>
  <c r="B23" i="8"/>
  <c r="B22" i="8"/>
  <c r="B21" i="8"/>
  <c r="B13" i="8"/>
  <c r="F22" i="18" s="1"/>
  <c r="B12" i="8"/>
  <c r="F21" i="18" s="1"/>
  <c r="B11" i="8"/>
  <c r="F20" i="18" s="1"/>
  <c r="C31" i="12"/>
  <c r="D31" i="12" s="1"/>
  <c r="C16" i="12"/>
  <c r="D16" i="12" s="1"/>
  <c r="C17" i="12"/>
  <c r="D17" i="12" s="1"/>
  <c r="C25" i="12"/>
  <c r="D25" i="12" s="1"/>
  <c r="C24" i="12"/>
  <c r="D24" i="12" s="1"/>
  <c r="C23" i="12"/>
  <c r="D23" i="12" s="1"/>
  <c r="F12" i="17" l="1"/>
  <c r="F13" i="17" s="1"/>
  <c r="F25" i="17" s="1"/>
  <c r="G25" i="17" s="1" a="1"/>
  <c r="G25" i="17" s="1"/>
  <c r="V18" i="17"/>
  <c r="W18" i="17" s="1" a="1"/>
  <c r="W18" i="17" s="1"/>
  <c r="V26" i="17"/>
  <c r="W26" i="17" s="1" a="1"/>
  <c r="W26" i="17" s="1"/>
  <c r="V21" i="17"/>
  <c r="W21" i="17" s="1" a="1"/>
  <c r="W21" i="17" s="1"/>
  <c r="V23" i="17"/>
  <c r="W23" i="17" s="1" a="1"/>
  <c r="W23" i="17" s="1"/>
  <c r="V19" i="17"/>
  <c r="W19" i="17" s="1" a="1"/>
  <c r="W19" i="17" s="1"/>
  <c r="V17" i="17"/>
  <c r="W17" i="17" s="1" a="1"/>
  <c r="W17" i="17" s="1"/>
  <c r="V20" i="17"/>
  <c r="W20" i="17" s="1" a="1"/>
  <c r="W20" i="17" s="1"/>
  <c r="V22" i="17"/>
  <c r="W22" i="17" s="1" a="1"/>
  <c r="W22" i="17" s="1"/>
  <c r="V24" i="17"/>
  <c r="V25" i="17"/>
  <c r="W25" i="17" s="1" a="1"/>
  <c r="W25" i="17" s="1"/>
  <c r="N24" i="17"/>
  <c r="O24" i="17" s="1" a="1"/>
  <c r="O24" i="17" s="1"/>
  <c r="N21" i="17"/>
  <c r="O21" i="17" s="1" a="1"/>
  <c r="O21" i="17" s="1"/>
  <c r="N25" i="17"/>
  <c r="O25" i="17" s="1" a="1"/>
  <c r="O25" i="17" s="1"/>
  <c r="N19" i="17"/>
  <c r="O19" i="17" s="1" a="1"/>
  <c r="O19" i="17" s="1"/>
  <c r="N20" i="17"/>
  <c r="O20" i="17" s="1" a="1"/>
  <c r="O20" i="17" s="1"/>
  <c r="N18" i="17"/>
  <c r="O18" i="17" s="1" a="1"/>
  <c r="O18" i="17" s="1"/>
  <c r="N26" i="17"/>
  <c r="O26" i="17" s="1" a="1"/>
  <c r="O26" i="17" s="1"/>
  <c r="N17" i="17"/>
  <c r="N22" i="17"/>
  <c r="O22" i="17" s="1" a="1"/>
  <c r="O22" i="17" s="1"/>
  <c r="N23" i="17"/>
  <c r="O23" i="17" s="1" a="1"/>
  <c r="O23" i="17" s="1"/>
  <c r="V24" i="5"/>
  <c r="V25" i="5"/>
  <c r="V28" i="5"/>
  <c r="V26" i="5"/>
  <c r="V27" i="5"/>
  <c r="V23" i="5"/>
  <c r="V20" i="5"/>
  <c r="V22" i="5"/>
  <c r="V21" i="5"/>
  <c r="V10" i="5"/>
  <c r="V14" i="5" s="1"/>
  <c r="V15" i="5" s="1"/>
  <c r="W19" i="5" s="1"/>
  <c r="F11" i="7"/>
  <c r="F13" i="7" s="1"/>
  <c r="F14" i="7" s="1"/>
  <c r="T11" i="7"/>
  <c r="T13" i="7" s="1"/>
  <c r="T14" i="7" s="1"/>
  <c r="M11" i="7"/>
  <c r="M13" i="7" s="1"/>
  <c r="M14" i="7" s="1"/>
  <c r="N8" i="5"/>
  <c r="N19" i="5" s="1"/>
  <c r="F8" i="5"/>
  <c r="F19" i="5" s="1"/>
  <c r="C30" i="12"/>
  <c r="D30" i="12" s="1"/>
  <c r="C18" i="12"/>
  <c r="D18" i="12" s="1"/>
  <c r="C22" i="12"/>
  <c r="D22" i="12" s="1"/>
  <c r="C29" i="12"/>
  <c r="D29" i="12" s="1"/>
  <c r="F21" i="17" l="1"/>
  <c r="G21" i="17" s="1" a="1"/>
  <c r="G21" i="17" s="1"/>
  <c r="F20" i="17"/>
  <c r="G20" i="17" s="1" a="1"/>
  <c r="G20" i="17" s="1"/>
  <c r="F24" i="17"/>
  <c r="G24" i="17" s="1" a="1"/>
  <c r="G24" i="17" s="1"/>
  <c r="F17" i="17"/>
  <c r="G17" i="17" s="1" a="1"/>
  <c r="G17" i="17" s="1"/>
  <c r="H17" i="17" s="1"/>
  <c r="I17" i="17" s="1"/>
  <c r="F19" i="17"/>
  <c r="G19" i="17" s="1" a="1"/>
  <c r="G19" i="17" s="1"/>
  <c r="F26" i="17"/>
  <c r="G26" i="17" s="1" a="1"/>
  <c r="G26" i="17" s="1"/>
  <c r="F18" i="17"/>
  <c r="G18" i="17" s="1" a="1"/>
  <c r="G18" i="17" s="1"/>
  <c r="F22" i="17"/>
  <c r="G22" i="17" s="1" a="1"/>
  <c r="G22" i="17" s="1"/>
  <c r="F23" i="17"/>
  <c r="G23" i="17" s="1" a="1"/>
  <c r="G23" i="17" s="1"/>
  <c r="N27" i="17"/>
  <c r="O17" i="17" a="1"/>
  <c r="O17" i="17" s="1"/>
  <c r="V27" i="17"/>
  <c r="W24" i="17" a="1"/>
  <c r="W24" i="17" s="1"/>
  <c r="X24" i="17" s="1"/>
  <c r="Y24" i="17" s="1"/>
  <c r="X19" i="5" a="1"/>
  <c r="X19" i="5" s="1"/>
  <c r="Y19" i="5" s="1"/>
  <c r="X18" i="17"/>
  <c r="Y18" i="17" s="1"/>
  <c r="X21" i="17"/>
  <c r="Y21" i="17" s="1"/>
  <c r="X22" i="17"/>
  <c r="Y22" i="17" s="1"/>
  <c r="X20" i="17"/>
  <c r="Y20" i="17" s="1"/>
  <c r="X23" i="17"/>
  <c r="Y23" i="17" s="1"/>
  <c r="X17" i="17"/>
  <c r="Y17" i="17" s="1"/>
  <c r="X19" i="17"/>
  <c r="Y19" i="17" s="1"/>
  <c r="W26" i="5"/>
  <c r="X26" i="5" s="1" a="1"/>
  <c r="X26" i="5" s="1"/>
  <c r="W28" i="5"/>
  <c r="X28" i="5" s="1" a="1"/>
  <c r="X28" i="5" s="1"/>
  <c r="W22" i="5"/>
  <c r="X22" i="5" s="1" a="1"/>
  <c r="X22" i="5" s="1"/>
  <c r="W20" i="5"/>
  <c r="X20" i="5" s="1" a="1"/>
  <c r="X20" i="5" s="1"/>
  <c r="W23" i="5"/>
  <c r="X23" i="5" s="1" a="1"/>
  <c r="X23" i="5" s="1"/>
  <c r="W27" i="5"/>
  <c r="X27" i="5" s="1" a="1"/>
  <c r="X27" i="5" s="1"/>
  <c r="V29" i="5"/>
  <c r="W25" i="5"/>
  <c r="X25" i="5" s="1" a="1"/>
  <c r="X25" i="5" s="1"/>
  <c r="W21" i="5"/>
  <c r="X21" i="5" s="1" a="1"/>
  <c r="X21" i="5" s="1"/>
  <c r="W24" i="5"/>
  <c r="X24" i="5" s="1" a="1"/>
  <c r="X24" i="5" s="1"/>
  <c r="N28" i="5"/>
  <c r="N23" i="5"/>
  <c r="N22" i="5"/>
  <c r="N26" i="5"/>
  <c r="N21" i="5"/>
  <c r="N25" i="5"/>
  <c r="N27" i="5"/>
  <c r="N20" i="5"/>
  <c r="N24" i="5"/>
  <c r="N14" i="5"/>
  <c r="N15" i="5" s="1"/>
  <c r="O19" i="5" s="1"/>
  <c r="N25" i="7"/>
  <c r="N23" i="7"/>
  <c r="F14" i="5"/>
  <c r="F15" i="5" s="1"/>
  <c r="F27" i="5"/>
  <c r="F23" i="5"/>
  <c r="F22" i="5"/>
  <c r="F28" i="5"/>
  <c r="F21" i="5"/>
  <c r="F24" i="5"/>
  <c r="F26" i="5"/>
  <c r="F20" i="5"/>
  <c r="F25" i="5"/>
  <c r="U25" i="7"/>
  <c r="U21" i="7"/>
  <c r="U18" i="7"/>
  <c r="U22" i="7"/>
  <c r="U26" i="7"/>
  <c r="U20" i="7"/>
  <c r="U23" i="7"/>
  <c r="U19" i="7"/>
  <c r="U17" i="7"/>
  <c r="U24" i="7"/>
  <c r="G20" i="7"/>
  <c r="G21" i="7"/>
  <c r="G26" i="7"/>
  <c r="G23" i="7"/>
  <c r="G25" i="7"/>
  <c r="G18" i="7"/>
  <c r="G17" i="7"/>
  <c r="G22" i="7"/>
  <c r="G19" i="7"/>
  <c r="G24" i="7"/>
  <c r="N20" i="7"/>
  <c r="N24" i="7"/>
  <c r="N17" i="7"/>
  <c r="N22" i="7"/>
  <c r="N26" i="7"/>
  <c r="N19" i="7"/>
  <c r="N18" i="7"/>
  <c r="N21" i="7"/>
  <c r="H21" i="17" l="1"/>
  <c r="I21" i="17" s="1"/>
  <c r="H26" i="17"/>
  <c r="I26" i="17" s="1"/>
  <c r="H22" i="17"/>
  <c r="I22" i="17" s="1"/>
  <c r="H18" i="17"/>
  <c r="I18" i="17" s="1"/>
  <c r="H19" i="17"/>
  <c r="I19" i="17" s="1"/>
  <c r="H20" i="17"/>
  <c r="I20" i="17" s="1"/>
  <c r="H25" i="17"/>
  <c r="I25" i="17" s="1"/>
  <c r="H23" i="17"/>
  <c r="I23" i="17" s="1"/>
  <c r="F27" i="17"/>
  <c r="H24" i="17"/>
  <c r="I24" i="17" s="1"/>
  <c r="M42" i="15" a="1"/>
  <c r="M42" i="15" s="1"/>
  <c r="Q22" i="15" a="1"/>
  <c r="Q22" i="15" s="1"/>
  <c r="M32" i="15" a="1"/>
  <c r="M32" i="15" s="1"/>
  <c r="I22" i="15" a="1"/>
  <c r="I22" i="15" s="1"/>
  <c r="Q12" i="8" a="1"/>
  <c r="Q12" i="8" s="1"/>
  <c r="U21" i="18" s="1"/>
  <c r="Q42" i="15" a="1"/>
  <c r="Q42" i="15" s="1"/>
  <c r="I42" i="15" a="1"/>
  <c r="I42" i="15" s="1"/>
  <c r="M12" i="15" a="1"/>
  <c r="M12" i="15" s="1"/>
  <c r="Q31" i="18" s="1"/>
  <c r="Q12" i="15" a="1"/>
  <c r="Q12" i="15" s="1"/>
  <c r="U31" i="18" s="1"/>
  <c r="Q32" i="15" a="1"/>
  <c r="Q32" i="15" s="1"/>
  <c r="I32" i="15" a="1"/>
  <c r="I32" i="15" s="1"/>
  <c r="I12" i="15" a="1"/>
  <c r="I12" i="15" s="1"/>
  <c r="M31" i="18" s="1"/>
  <c r="M22" i="15" a="1"/>
  <c r="M22" i="15" s="1"/>
  <c r="Q31" i="15" a="1"/>
  <c r="Q31" i="15" s="1"/>
  <c r="M31" i="15" a="1"/>
  <c r="M31" i="15" s="1"/>
  <c r="I41" i="15" a="1"/>
  <c r="I41" i="15" s="1"/>
  <c r="P11" i="15"/>
  <c r="T30" i="18" s="1"/>
  <c r="H21" i="15"/>
  <c r="M41" i="15" a="1"/>
  <c r="M41" i="15" s="1"/>
  <c r="I31" i="15" a="1"/>
  <c r="I31" i="15" s="1"/>
  <c r="Q21" i="15" a="1"/>
  <c r="Q21" i="15" s="1"/>
  <c r="Q11" i="15" a="1"/>
  <c r="Q11" i="15" s="1"/>
  <c r="U30" i="18" s="1"/>
  <c r="P41" i="15"/>
  <c r="L21" i="15"/>
  <c r="P31" i="15"/>
  <c r="I11" i="15" a="1"/>
  <c r="I11" i="15" s="1"/>
  <c r="M30" i="18" s="1"/>
  <c r="Q41" i="15" a="1"/>
  <c r="Q41" i="15" s="1"/>
  <c r="M21" i="15" a="1"/>
  <c r="M21" i="15" s="1"/>
  <c r="Q11" i="8" a="1"/>
  <c r="Q11" i="8" s="1"/>
  <c r="U20" i="18" s="1"/>
  <c r="H41" i="15"/>
  <c r="M11" i="15" a="1"/>
  <c r="M11" i="15" s="1"/>
  <c r="Q30" i="18" s="1"/>
  <c r="L41" i="15"/>
  <c r="H31" i="15"/>
  <c r="P21" i="15"/>
  <c r="H11" i="15"/>
  <c r="L30" i="18" s="1"/>
  <c r="L31" i="15"/>
  <c r="I21" i="15" a="1"/>
  <c r="I21" i="15" s="1"/>
  <c r="L11" i="15"/>
  <c r="P30" i="18" s="1"/>
  <c r="I23" i="15" a="1"/>
  <c r="I23" i="15" s="1"/>
  <c r="M13" i="15" a="1"/>
  <c r="M13" i="15" s="1"/>
  <c r="Q32" i="18" s="1"/>
  <c r="Q13" i="15" a="1"/>
  <c r="Q13" i="15" s="1"/>
  <c r="U32" i="18" s="1"/>
  <c r="I33" i="15" a="1"/>
  <c r="I33" i="15" s="1"/>
  <c r="M23" i="15" a="1"/>
  <c r="M23" i="15" s="1"/>
  <c r="M33" i="15" a="1"/>
  <c r="M33" i="15" s="1"/>
  <c r="I13" i="15" a="1"/>
  <c r="I13" i="15" s="1"/>
  <c r="M32" i="18" s="1"/>
  <c r="M43" i="15" a="1"/>
  <c r="M43" i="15" s="1"/>
  <c r="Q23" i="15" a="1"/>
  <c r="Q23" i="15" s="1"/>
  <c r="Q13" i="8" a="1"/>
  <c r="Q13" i="8" s="1"/>
  <c r="U22" i="18" s="1"/>
  <c r="I43" i="15" a="1"/>
  <c r="I43" i="15" s="1"/>
  <c r="Q43" i="15" a="1"/>
  <c r="Q43" i="15" s="1"/>
  <c r="Q33" i="15" a="1"/>
  <c r="Q33" i="15" s="1"/>
  <c r="U13" i="15" a="1"/>
  <c r="U13" i="15" s="1"/>
  <c r="Y32" i="18" s="1"/>
  <c r="E33" i="15" a="1"/>
  <c r="E33" i="15" s="1"/>
  <c r="U33" i="15" a="1"/>
  <c r="U33" i="15" s="1"/>
  <c r="E13" i="15" a="1"/>
  <c r="E13" i="15" s="1"/>
  <c r="I32" i="18" s="1"/>
  <c r="U43" i="15" a="1"/>
  <c r="U43" i="15" s="1"/>
  <c r="E23" i="15" a="1"/>
  <c r="E23" i="15" s="1"/>
  <c r="E43" i="15" a="1"/>
  <c r="E43" i="15" s="1"/>
  <c r="U23" i="15" a="1"/>
  <c r="U23" i="15" s="1"/>
  <c r="Y21" i="5"/>
  <c r="X25" i="17"/>
  <c r="Y25" i="17" s="1"/>
  <c r="W29" i="5"/>
  <c r="X26" i="17"/>
  <c r="P18" i="17"/>
  <c r="Q18" i="17" s="1"/>
  <c r="P22" i="17"/>
  <c r="Q22" i="17" s="1"/>
  <c r="P21" i="17"/>
  <c r="Q21" i="17" s="1"/>
  <c r="P19" i="17"/>
  <c r="Q19" i="17" s="1"/>
  <c r="P23" i="17"/>
  <c r="Q23" i="17" s="1"/>
  <c r="P24" i="17"/>
  <c r="Q24" i="17" s="1"/>
  <c r="P26" i="17"/>
  <c r="P20" i="17"/>
  <c r="Q20" i="17" s="1"/>
  <c r="P25" i="17"/>
  <c r="Q25" i="17" s="1"/>
  <c r="P17" i="17"/>
  <c r="Q17" i="17" s="1"/>
  <c r="P19" i="5" a="1"/>
  <c r="P19" i="5" s="1"/>
  <c r="Q19" i="5" s="1"/>
  <c r="Y25" i="5"/>
  <c r="Y22" i="5"/>
  <c r="Y28" i="5"/>
  <c r="O27" i="5"/>
  <c r="P27" i="5" s="1" a="1"/>
  <c r="P27" i="5" s="1"/>
  <c r="Y20" i="5"/>
  <c r="O25" i="5"/>
  <c r="P25" i="5" s="1" a="1"/>
  <c r="P25" i="5" s="1"/>
  <c r="Y24" i="5"/>
  <c r="O21" i="5"/>
  <c r="P21" i="5" s="1" a="1"/>
  <c r="P21" i="5" s="1"/>
  <c r="Y26" i="5"/>
  <c r="Y23" i="5"/>
  <c r="O26" i="5"/>
  <c r="P26" i="5" s="1" a="1"/>
  <c r="P26" i="5" s="1"/>
  <c r="Y27" i="5"/>
  <c r="O20" i="5"/>
  <c r="P20" i="5" s="1" a="1"/>
  <c r="P20" i="5" s="1"/>
  <c r="O22" i="5"/>
  <c r="P22" i="5" s="1" a="1"/>
  <c r="P22" i="5" s="1"/>
  <c r="N29" i="5"/>
  <c r="O23" i="5"/>
  <c r="P23" i="5" s="1" a="1"/>
  <c r="P23" i="5" s="1"/>
  <c r="O24" i="5"/>
  <c r="P24" i="5" s="1" a="1"/>
  <c r="P24" i="5" s="1"/>
  <c r="O28" i="5"/>
  <c r="P28" i="5" s="1" a="1"/>
  <c r="P28" i="5" s="1"/>
  <c r="G28" i="5"/>
  <c r="H28" i="5" s="1" a="1"/>
  <c r="H28" i="5" s="1"/>
  <c r="G20" i="5"/>
  <c r="H20" i="5" s="1" a="1"/>
  <c r="H20" i="5" s="1"/>
  <c r="G21" i="5"/>
  <c r="H21" i="5" s="1" a="1"/>
  <c r="H21" i="5" s="1"/>
  <c r="G22" i="5"/>
  <c r="H22" i="5" s="1" a="1"/>
  <c r="H22" i="5" s="1"/>
  <c r="G27" i="5"/>
  <c r="H27" i="5" s="1" a="1"/>
  <c r="H27" i="5" s="1"/>
  <c r="U27" i="7"/>
  <c r="U29" i="7" s="1"/>
  <c r="G25" i="5"/>
  <c r="H25" i="5" s="1" a="1"/>
  <c r="H25" i="5" s="1"/>
  <c r="Q21" i="8" a="1"/>
  <c r="Q21" i="8" s="1"/>
  <c r="G19" i="5"/>
  <c r="Q43" i="8" a="1"/>
  <c r="Q43" i="8" s="1"/>
  <c r="G26" i="5"/>
  <c r="H26" i="5" s="1" a="1"/>
  <c r="H26" i="5" s="1"/>
  <c r="G23" i="5"/>
  <c r="H23" i="5" s="1" a="1"/>
  <c r="H23" i="5" s="1"/>
  <c r="Q22" i="8" a="1"/>
  <c r="Q22" i="8" s="1"/>
  <c r="Q41" i="8" a="1"/>
  <c r="Q41" i="8" s="1"/>
  <c r="G24" i="5"/>
  <c r="H24" i="5" s="1" a="1"/>
  <c r="H24" i="5" s="1"/>
  <c r="F29" i="5"/>
  <c r="Q32" i="8" a="1"/>
  <c r="Q32" i="8" s="1"/>
  <c r="Q42" i="8" a="1"/>
  <c r="Q42" i="8" s="1"/>
  <c r="Q31" i="8" a="1"/>
  <c r="Q31" i="8" s="1"/>
  <c r="Q23" i="8" a="1"/>
  <c r="Q23" i="8" s="1"/>
  <c r="Q33" i="8" a="1"/>
  <c r="Q33" i="8" s="1"/>
  <c r="G27" i="7"/>
  <c r="G29" i="7" s="1"/>
  <c r="N27" i="7"/>
  <c r="N29" i="7" s="1"/>
  <c r="H27" i="17" l="1"/>
  <c r="E31" i="15" a="1"/>
  <c r="E31" i="15" s="1"/>
  <c r="E41" i="15" a="1"/>
  <c r="E41" i="15" s="1"/>
  <c r="E11" i="15" a="1"/>
  <c r="E11" i="15" s="1"/>
  <c r="I30" i="18" s="1"/>
  <c r="E21" i="15" a="1"/>
  <c r="E21" i="15" s="1"/>
  <c r="I29" i="17"/>
  <c r="S41" i="15" s="1"/>
  <c r="U21" i="15" a="1"/>
  <c r="U21" i="15" s="1"/>
  <c r="E13" i="8" a="1"/>
  <c r="E13" i="8" s="1"/>
  <c r="I22" i="18" s="1"/>
  <c r="U43" i="8" a="1"/>
  <c r="U43" i="8" s="1"/>
  <c r="U13" i="8" a="1"/>
  <c r="U13" i="8" s="1"/>
  <c r="Y22" i="18" s="1"/>
  <c r="U33" i="8" a="1"/>
  <c r="U33" i="8" s="1"/>
  <c r="U23" i="8" a="1"/>
  <c r="U23" i="8" s="1"/>
  <c r="U41" i="15" a="1"/>
  <c r="U41" i="15" s="1"/>
  <c r="U11" i="15" a="1"/>
  <c r="U11" i="15" s="1"/>
  <c r="Y30" i="18" s="1"/>
  <c r="K31" i="15"/>
  <c r="G11" i="15"/>
  <c r="K30" i="18" s="1"/>
  <c r="G41" i="15"/>
  <c r="K11" i="15"/>
  <c r="O30" i="18" s="1"/>
  <c r="O11" i="8"/>
  <c r="S20" i="18" s="1"/>
  <c r="O31" i="15"/>
  <c r="G31" i="15"/>
  <c r="O21" i="15"/>
  <c r="O11" i="15"/>
  <c r="S30" i="18" s="1"/>
  <c r="K41" i="15"/>
  <c r="K21" i="15"/>
  <c r="G21" i="15"/>
  <c r="O41" i="15"/>
  <c r="U31" i="15" a="1"/>
  <c r="U31" i="15" s="1"/>
  <c r="G32" i="15"/>
  <c r="K12" i="15"/>
  <c r="O31" i="18" s="1"/>
  <c r="G12" i="15"/>
  <c r="K31" i="18" s="1"/>
  <c r="O12" i="8"/>
  <c r="S21" i="18" s="1"/>
  <c r="O22" i="15"/>
  <c r="K42" i="15"/>
  <c r="K22" i="15"/>
  <c r="K32" i="15"/>
  <c r="G42" i="15"/>
  <c r="G22" i="15"/>
  <c r="O42" i="15"/>
  <c r="O32" i="15"/>
  <c r="O12" i="15"/>
  <c r="S31" i="18" s="1"/>
  <c r="O43" i="8"/>
  <c r="O23" i="15"/>
  <c r="K23" i="15"/>
  <c r="O43" i="15"/>
  <c r="K33" i="15"/>
  <c r="G23" i="15"/>
  <c r="G13" i="15"/>
  <c r="K32" i="18" s="1"/>
  <c r="K13" i="15"/>
  <c r="O32" i="18" s="1"/>
  <c r="O13" i="8"/>
  <c r="S22" i="18" s="1"/>
  <c r="O33" i="15"/>
  <c r="O13" i="15"/>
  <c r="S32" i="18" s="1"/>
  <c r="K43" i="15"/>
  <c r="G43" i="15"/>
  <c r="G33" i="15"/>
  <c r="U12" i="15" a="1"/>
  <c r="U12" i="15" s="1"/>
  <c r="Y31" i="18" s="1"/>
  <c r="E22" i="15" a="1"/>
  <c r="E22" i="15" s="1"/>
  <c r="U32" i="15" a="1"/>
  <c r="U32" i="15" s="1"/>
  <c r="E12" i="15" a="1"/>
  <c r="E12" i="15" s="1"/>
  <c r="I31" i="18" s="1"/>
  <c r="E42" i="15" a="1"/>
  <c r="E42" i="15" s="1"/>
  <c r="E32" i="15" a="1"/>
  <c r="E32" i="15" s="1"/>
  <c r="E33" i="8" a="1"/>
  <c r="E33" i="8" s="1"/>
  <c r="E23" i="8" a="1"/>
  <c r="E23" i="8" s="1"/>
  <c r="E43" i="8" a="1"/>
  <c r="E43" i="8" s="1"/>
  <c r="X27" i="17"/>
  <c r="Y26" i="17"/>
  <c r="Y29" i="17" s="1"/>
  <c r="P27" i="17"/>
  <c r="Q26" i="17"/>
  <c r="Q29" i="17" s="1"/>
  <c r="Q20" i="5"/>
  <c r="O29" i="5"/>
  <c r="H19" i="5" a="1"/>
  <c r="H19" i="5" s="1"/>
  <c r="I19" i="5" s="1"/>
  <c r="G29" i="5"/>
  <c r="Q21" i="5"/>
  <c r="Q25" i="5"/>
  <c r="Z31" i="5"/>
  <c r="Y29" i="5"/>
  <c r="Q23" i="5"/>
  <c r="Q24" i="5"/>
  <c r="Q22" i="5"/>
  <c r="Q27" i="5"/>
  <c r="Q28" i="5"/>
  <c r="Q26" i="5"/>
  <c r="O21" i="8"/>
  <c r="O33" i="8"/>
  <c r="O41" i="8"/>
  <c r="O32" i="8"/>
  <c r="O22" i="8"/>
  <c r="O42" i="8"/>
  <c r="O31" i="8"/>
  <c r="O23" i="8"/>
  <c r="C6" i="6"/>
  <c r="C5" i="6"/>
  <c r="C4" i="6"/>
  <c r="C31" i="15" l="1"/>
  <c r="U22" i="15" a="1"/>
  <c r="U22" i="15" s="1"/>
  <c r="U42" i="15" a="1"/>
  <c r="U42" i="15" s="1"/>
  <c r="S31" i="15"/>
  <c r="C11" i="15"/>
  <c r="G30" i="18" s="1"/>
  <c r="C21" i="15"/>
  <c r="C41" i="15"/>
  <c r="S11" i="15"/>
  <c r="W30" i="18" s="1"/>
  <c r="S21" i="15"/>
  <c r="S42" i="15"/>
  <c r="C22" i="15"/>
  <c r="S22" i="15"/>
  <c r="C32" i="15"/>
  <c r="C42" i="15"/>
  <c r="C12" i="15"/>
  <c r="G31" i="18" s="1"/>
  <c r="S12" i="15"/>
  <c r="W31" i="18" s="1"/>
  <c r="S32" i="15"/>
  <c r="C23" i="15"/>
  <c r="C43" i="15"/>
  <c r="C13" i="15"/>
  <c r="G32" i="18" s="1"/>
  <c r="S13" i="15"/>
  <c r="W32" i="18" s="1"/>
  <c r="S33" i="15"/>
  <c r="S43" i="15"/>
  <c r="S23" i="15"/>
  <c r="C33" i="15"/>
  <c r="I22" i="5"/>
  <c r="I21" i="5"/>
  <c r="I25" i="5"/>
  <c r="I28" i="5"/>
  <c r="S43" i="8"/>
  <c r="I24" i="5"/>
  <c r="I23" i="5"/>
  <c r="I27" i="5"/>
  <c r="I20" i="5"/>
  <c r="I26" i="5"/>
  <c r="S23" i="8"/>
  <c r="S33" i="8"/>
  <c r="E22" i="8" a="1"/>
  <c r="E22" i="8" s="1"/>
  <c r="S13" i="8"/>
  <c r="W22" i="18" s="1"/>
  <c r="C13" i="8"/>
  <c r="G22" i="18" s="1"/>
  <c r="R31" i="5"/>
  <c r="Q29" i="5"/>
  <c r="C43" i="8"/>
  <c r="C33" i="8"/>
  <c r="C23" i="8"/>
  <c r="F6" i="6"/>
  <c r="F7" i="6" s="1"/>
  <c r="M6" i="6"/>
  <c r="M7" i="6" s="1"/>
  <c r="T6" i="6"/>
  <c r="T7" i="6" s="1"/>
  <c r="E32" i="8" l="1" a="1"/>
  <c r="E32" i="8" s="1"/>
  <c r="E42" i="8" a="1"/>
  <c r="E42" i="8" s="1"/>
  <c r="E12" i="8" a="1"/>
  <c r="E12" i="8" s="1"/>
  <c r="I21" i="18" s="1"/>
  <c r="U12" i="8" a="1"/>
  <c r="U12" i="8" s="1"/>
  <c r="Y21" i="18" s="1"/>
  <c r="U22" i="8" a="1"/>
  <c r="U22" i="8" s="1"/>
  <c r="U42" i="8" a="1"/>
  <c r="U42" i="8" s="1"/>
  <c r="U32" i="8" a="1"/>
  <c r="U32" i="8" s="1"/>
  <c r="J31" i="5"/>
  <c r="U21" i="8" a="1"/>
  <c r="U21" i="8" s="1"/>
  <c r="U31" i="8" a="1"/>
  <c r="U31" i="8" s="1"/>
  <c r="U41" i="8" a="1"/>
  <c r="U41" i="8" s="1"/>
  <c r="U11" i="8" a="1"/>
  <c r="U11" i="8" s="1"/>
  <c r="Y20" i="18" s="1"/>
  <c r="E31" i="8" a="1"/>
  <c r="E31" i="8" s="1"/>
  <c r="E41" i="8" a="1"/>
  <c r="E41" i="8" s="1"/>
  <c r="E11" i="8" a="1"/>
  <c r="E11" i="8" s="1"/>
  <c r="I20" i="18" s="1"/>
  <c r="E21" i="8" a="1"/>
  <c r="E21" i="8" s="1"/>
  <c r="I29" i="5"/>
  <c r="S42" i="8"/>
  <c r="S32" i="8"/>
  <c r="S22" i="8"/>
  <c r="C32" i="8"/>
  <c r="S12" i="8"/>
  <c r="W21" i="18" s="1"/>
  <c r="C42" i="8"/>
  <c r="C12" i="8"/>
  <c r="G21" i="18" s="1"/>
  <c r="C22" i="8"/>
  <c r="M8" i="6"/>
  <c r="M9" i="6" s="1"/>
  <c r="M19" i="6" s="1"/>
  <c r="M10" i="6"/>
  <c r="M11" i="6" s="1"/>
  <c r="T8" i="6"/>
  <c r="T9" i="6" s="1"/>
  <c r="T19" i="6" s="1"/>
  <c r="T10" i="6"/>
  <c r="T11" i="6" s="1"/>
  <c r="F10" i="6"/>
  <c r="F11" i="6" s="1"/>
  <c r="F8" i="6"/>
  <c r="C41" i="8" l="1"/>
  <c r="M27" i="6"/>
  <c r="M22" i="6"/>
  <c r="M20" i="6"/>
  <c r="M26" i="6"/>
  <c r="M24" i="6"/>
  <c r="M23" i="6"/>
  <c r="M21" i="6"/>
  <c r="M28" i="6"/>
  <c r="M25" i="6"/>
  <c r="T27" i="6"/>
  <c r="T23" i="6"/>
  <c r="T26" i="6"/>
  <c r="T25" i="6"/>
  <c r="T22" i="6"/>
  <c r="T24" i="6"/>
  <c r="T20" i="6"/>
  <c r="T28" i="6"/>
  <c r="T21" i="6"/>
  <c r="F9" i="6"/>
  <c r="F19" i="6" s="1"/>
  <c r="T15" i="6"/>
  <c r="T16" i="6" s="1"/>
  <c r="U19" i="6" s="1"/>
  <c r="M15" i="6"/>
  <c r="M16" i="6" s="1"/>
  <c r="S21" i="8" l="1"/>
  <c r="C21" i="8"/>
  <c r="S11" i="8"/>
  <c r="W20" i="18" s="1"/>
  <c r="C31" i="8"/>
  <c r="C11" i="8"/>
  <c r="G20" i="18" s="1"/>
  <c r="S41" i="8"/>
  <c r="S31" i="8"/>
  <c r="M29" i="6"/>
  <c r="U24" i="6"/>
  <c r="V24" i="6" s="1"/>
  <c r="N20" i="6"/>
  <c r="O20" i="6" s="1"/>
  <c r="N19" i="6"/>
  <c r="N21" i="6"/>
  <c r="O21" i="6" s="1"/>
  <c r="N22" i="6"/>
  <c r="O22" i="6" s="1"/>
  <c r="N23" i="6"/>
  <c r="O23" i="6" s="1"/>
  <c r="N24" i="6"/>
  <c r="O24" i="6" s="1"/>
  <c r="N25" i="6"/>
  <c r="O25" i="6" s="1"/>
  <c r="N26" i="6"/>
  <c r="O26" i="6" s="1"/>
  <c r="N27" i="6"/>
  <c r="O27" i="6" s="1"/>
  <c r="N28" i="6"/>
  <c r="O28" i="6" s="1"/>
  <c r="U27" i="6"/>
  <c r="V27" i="6" s="1"/>
  <c r="V19" i="6"/>
  <c r="U26" i="6"/>
  <c r="V26" i="6" s="1"/>
  <c r="U23" i="6"/>
  <c r="V23" i="6" s="1"/>
  <c r="U21" i="6"/>
  <c r="V21" i="6" s="1"/>
  <c r="U28" i="6"/>
  <c r="V28" i="6" s="1"/>
  <c r="U22" i="6"/>
  <c r="V22" i="6" s="1"/>
  <c r="U25" i="6"/>
  <c r="V25" i="6" s="1"/>
  <c r="T29" i="6"/>
  <c r="U20" i="6"/>
  <c r="V20" i="6" s="1"/>
  <c r="F15" i="6"/>
  <c r="F16" i="6" s="1"/>
  <c r="I43" i="8" l="1" a="1"/>
  <c r="I43" i="8" s="1"/>
  <c r="I13" i="8" a="1"/>
  <c r="I13" i="8" s="1"/>
  <c r="M22" i="18" s="1"/>
  <c r="I23" i="8" a="1"/>
  <c r="I23" i="8" s="1"/>
  <c r="I33" i="8" a="1"/>
  <c r="I33" i="8" s="1"/>
  <c r="H33" i="8"/>
  <c r="H43" i="8"/>
  <c r="L23" i="8"/>
  <c r="L33" i="8"/>
  <c r="L43" i="8"/>
  <c r="H23" i="8"/>
  <c r="L13" i="8"/>
  <c r="P22" i="18" s="1"/>
  <c r="H13" i="8"/>
  <c r="L22" i="18" s="1"/>
  <c r="I32" i="8" a="1"/>
  <c r="I32" i="8" s="1"/>
  <c r="I42" i="8" a="1"/>
  <c r="I42" i="8" s="1"/>
  <c r="I22" i="8" a="1"/>
  <c r="I22" i="8" s="1"/>
  <c r="I12" i="8" a="1"/>
  <c r="I12" i="8" s="1"/>
  <c r="M21" i="18" s="1"/>
  <c r="O19" i="6"/>
  <c r="N29" i="6"/>
  <c r="U29" i="6"/>
  <c r="V29" i="6"/>
  <c r="V31" i="6" s="1"/>
  <c r="G19" i="6"/>
  <c r="F28" i="6"/>
  <c r="G28" i="6" s="1"/>
  <c r="H28" i="6" s="1"/>
  <c r="F27" i="6"/>
  <c r="G27" i="6" s="1"/>
  <c r="H27" i="6" s="1"/>
  <c r="F26" i="6"/>
  <c r="G26" i="6" s="1"/>
  <c r="H26" i="6" s="1"/>
  <c r="F20" i="6"/>
  <c r="G20" i="6" s="1"/>
  <c r="H20" i="6" s="1"/>
  <c r="F25" i="6"/>
  <c r="G25" i="6" s="1"/>
  <c r="H25" i="6" s="1"/>
  <c r="F23" i="6"/>
  <c r="G23" i="6" s="1"/>
  <c r="H23" i="6" s="1"/>
  <c r="F22" i="6"/>
  <c r="G22" i="6" s="1"/>
  <c r="H22" i="6" s="1"/>
  <c r="F21" i="6"/>
  <c r="G21" i="6" s="1"/>
  <c r="H21" i="6" s="1"/>
  <c r="F24" i="6"/>
  <c r="G24" i="6" s="1"/>
  <c r="H24" i="6" s="1"/>
  <c r="M42" i="8" a="1"/>
  <c r="M42" i="8" s="1"/>
  <c r="M43" i="8" a="1"/>
  <c r="M43" i="8" s="1"/>
  <c r="M32" i="8" a="1"/>
  <c r="M32" i="8" s="1"/>
  <c r="M22" i="8" a="1"/>
  <c r="M22" i="8" s="1"/>
  <c r="M12" i="8" a="1"/>
  <c r="M12" i="8" s="1"/>
  <c r="Q21" i="18" s="1"/>
  <c r="M33" i="8" a="1"/>
  <c r="M33" i="8" s="1"/>
  <c r="M23" i="8" a="1"/>
  <c r="M23" i="8" s="1"/>
  <c r="M13" i="8" a="1"/>
  <c r="M13" i="8" s="1"/>
  <c r="Q22" i="18" s="1"/>
  <c r="H22" i="8" l="1"/>
  <c r="H32" i="8"/>
  <c r="L22" i="8"/>
  <c r="L32" i="8"/>
  <c r="L42" i="8"/>
  <c r="H42" i="8"/>
  <c r="H12" i="8"/>
  <c r="L21" i="18" s="1"/>
  <c r="L12" i="8"/>
  <c r="P21" i="18" s="1"/>
  <c r="O29" i="6"/>
  <c r="O31" i="6" s="1"/>
  <c r="G32" i="8" s="1"/>
  <c r="I21" i="8" a="1"/>
  <c r="I21" i="8" s="1"/>
  <c r="I31" i="8" a="1"/>
  <c r="I31" i="8" s="1"/>
  <c r="I41" i="8" a="1"/>
  <c r="I41" i="8" s="1"/>
  <c r="G13" i="8"/>
  <c r="K22" i="18" s="1"/>
  <c r="G43" i="8"/>
  <c r="G33" i="8"/>
  <c r="G23" i="8"/>
  <c r="G12" i="8"/>
  <c r="K21" i="18" s="1"/>
  <c r="H19" i="6"/>
  <c r="H11" i="8" s="1"/>
  <c r="M11" i="8" a="1"/>
  <c r="M11" i="8" s="1"/>
  <c r="Q20" i="18" s="1"/>
  <c r="I11" i="8" a="1"/>
  <c r="I11" i="8" s="1"/>
  <c r="M20" i="18" s="1"/>
  <c r="F29" i="6"/>
  <c r="M41" i="8" a="1"/>
  <c r="M41" i="8" s="1"/>
  <c r="G29" i="6"/>
  <c r="M31" i="8" a="1"/>
  <c r="M31" i="8" s="1"/>
  <c r="M21" i="8" a="1"/>
  <c r="M21" i="8" s="1"/>
  <c r="K42" i="8"/>
  <c r="K12" i="8"/>
  <c r="O21" i="18" s="1"/>
  <c r="K32" i="8"/>
  <c r="K22" i="8"/>
  <c r="K33" i="8"/>
  <c r="K13" i="8"/>
  <c r="O22" i="18" s="1"/>
  <c r="K23" i="8"/>
  <c r="K43" i="8"/>
  <c r="G42" i="8" l="1"/>
  <c r="G22" i="8"/>
  <c r="P22" i="15"/>
  <c r="L12" i="15"/>
  <c r="P31" i="18" s="1"/>
  <c r="P33" i="15"/>
  <c r="P13" i="15"/>
  <c r="T32" i="18" s="1"/>
  <c r="P12" i="15"/>
  <c r="T31" i="18" s="1"/>
  <c r="P23" i="15"/>
  <c r="H32" i="15"/>
  <c r="H43" i="15"/>
  <c r="H23" i="15"/>
  <c r="H13" i="15"/>
  <c r="L32" i="18" s="1"/>
  <c r="P13" i="8"/>
  <c r="T22" i="18" s="1"/>
  <c r="P32" i="15"/>
  <c r="L23" i="15"/>
  <c r="H22" i="15"/>
  <c r="L42" i="15"/>
  <c r="P12" i="8"/>
  <c r="T21" i="18" s="1"/>
  <c r="P11" i="8"/>
  <c r="T20" i="18" s="1"/>
  <c r="L43" i="15"/>
  <c r="H33" i="15"/>
  <c r="L32" i="15"/>
  <c r="P42" i="15"/>
  <c r="P43" i="15"/>
  <c r="L33" i="15"/>
  <c r="L22" i="15"/>
  <c r="H42" i="15"/>
  <c r="H12" i="15"/>
  <c r="L31" i="18" s="1"/>
  <c r="L13" i="15"/>
  <c r="P32" i="18" s="1"/>
  <c r="T21" i="15"/>
  <c r="D21" i="15"/>
  <c r="D11" i="15"/>
  <c r="H30" i="18" s="1"/>
  <c r="D41" i="15"/>
  <c r="T42" i="15"/>
  <c r="D31" i="15"/>
  <c r="T11" i="15"/>
  <c r="X30" i="18" s="1"/>
  <c r="T31" i="15"/>
  <c r="D23" i="15"/>
  <c r="T23" i="15"/>
  <c r="T22" i="15"/>
  <c r="T32" i="15"/>
  <c r="T41" i="15"/>
  <c r="T12" i="15"/>
  <c r="X31" i="18" s="1"/>
  <c r="D12" i="15"/>
  <c r="H31" i="18" s="1"/>
  <c r="D33" i="15"/>
  <c r="D42" i="15"/>
  <c r="D32" i="15"/>
  <c r="T13" i="15"/>
  <c r="X32" i="18" s="1"/>
  <c r="D13" i="15"/>
  <c r="H32" i="18" s="1"/>
  <c r="D22" i="15"/>
  <c r="D43" i="15"/>
  <c r="T43" i="15"/>
  <c r="D11" i="8"/>
  <c r="H20" i="18" s="1"/>
  <c r="T33" i="15"/>
  <c r="L41" i="8"/>
  <c r="H21" i="8"/>
  <c r="H41" i="8"/>
  <c r="H31" i="8"/>
  <c r="L20" i="18"/>
  <c r="L31" i="8"/>
  <c r="L21" i="8"/>
  <c r="P42" i="8"/>
  <c r="P23" i="8"/>
  <c r="P41" i="8"/>
  <c r="P22" i="8"/>
  <c r="P32" i="8"/>
  <c r="P31" i="8"/>
  <c r="P21" i="8"/>
  <c r="P43" i="8"/>
  <c r="P33" i="8"/>
  <c r="D13" i="8"/>
  <c r="H22" i="18" s="1"/>
  <c r="T43" i="8"/>
  <c r="D33" i="8"/>
  <c r="D43" i="8"/>
  <c r="T33" i="8"/>
  <c r="T23" i="8"/>
  <c r="T41" i="8"/>
  <c r="D41" i="8"/>
  <c r="T31" i="8"/>
  <c r="T42" i="8"/>
  <c r="T21" i="8"/>
  <c r="D12" i="8"/>
  <c r="H21" i="18" s="1"/>
  <c r="T32" i="8"/>
  <c r="D42" i="8"/>
  <c r="D23" i="8"/>
  <c r="D21" i="8"/>
  <c r="D31" i="8"/>
  <c r="D22" i="8"/>
  <c r="D32" i="8"/>
  <c r="T22" i="8"/>
  <c r="L11" i="8"/>
  <c r="P20" i="18" s="1"/>
  <c r="T13" i="8"/>
  <c r="X22" i="18" s="1"/>
  <c r="T11" i="8"/>
  <c r="X20" i="18" s="1"/>
  <c r="T12" i="8"/>
  <c r="X21" i="18" s="1"/>
  <c r="H29" i="6"/>
  <c r="H31" i="6" s="1"/>
  <c r="K11" i="8" s="1"/>
  <c r="O20" i="18" s="1"/>
  <c r="G21" i="8" l="1"/>
  <c r="G41" i="8"/>
  <c r="K21" i="8"/>
  <c r="G31" i="8"/>
  <c r="K41" i="8"/>
  <c r="K31" i="8"/>
  <c r="G11" i="8"/>
  <c r="K20"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<sst xmlns="http://schemas.openxmlformats.org/spreadsheetml/2006/main" count="655" uniqueCount="142">
  <si>
    <t>Scenario 1</t>
  </si>
  <si>
    <t>Scenario 2</t>
  </si>
  <si>
    <t>Scenario 3</t>
  </si>
  <si>
    <t>Investering</t>
  </si>
  <si>
    <t>investering</t>
  </si>
  <si>
    <t>Energiebesparing</t>
  </si>
  <si>
    <t>Nettostijging maandelijkse lasten</t>
  </si>
  <si>
    <t>VvE-bijdrage door de VvE-ledenlening Warmtefonds</t>
  </si>
  <si>
    <t>jaar 1</t>
  </si>
  <si>
    <t>jaar 2</t>
  </si>
  <si>
    <t>jaar 3</t>
  </si>
  <si>
    <t>jaar 4</t>
  </si>
  <si>
    <t>jaar 5</t>
  </si>
  <si>
    <t>jaar 6</t>
  </si>
  <si>
    <t>jaar 7</t>
  </si>
  <si>
    <t>jaar 8</t>
  </si>
  <si>
    <t>jaar 9</t>
  </si>
  <si>
    <t>jaar 10</t>
  </si>
  <si>
    <t>Totaal</t>
  </si>
  <si>
    <t>Lening</t>
  </si>
  <si>
    <t xml:space="preserve">Subsidie </t>
  </si>
  <si>
    <t>Subsidie 1</t>
  </si>
  <si>
    <t>Subsidie 2</t>
  </si>
  <si>
    <t>Subsidie 3</t>
  </si>
  <si>
    <t>Vangnet (max)</t>
  </si>
  <si>
    <t>Restant maandelijkse verhoging na ledenlening</t>
  </si>
  <si>
    <t>Verhoging voor de bewoner (p/mnd)</t>
  </si>
  <si>
    <t>Restant na eenmalige subsidies</t>
  </si>
  <si>
    <t>Eenmalige subsidies</t>
  </si>
  <si>
    <t>Verhoging maandelijkse bijdrage</t>
  </si>
  <si>
    <t>VARIABELEN</t>
  </si>
  <si>
    <t>Kosten</t>
  </si>
  <si>
    <t>150 % bijstandsnorm</t>
  </si>
  <si>
    <t>150 % bijstandsnorm alleenstaande</t>
  </si>
  <si>
    <t>150 % bijstandsnorm stel</t>
  </si>
  <si>
    <t>150 % sociaal minimum AOW alleenstaande</t>
  </si>
  <si>
    <t>150 % sociaal minimum AOW stel</t>
  </si>
  <si>
    <t>175 % bijstandsnorm</t>
  </si>
  <si>
    <t>175 % bijstandsnorm alleenstaande</t>
  </si>
  <si>
    <t>175 % bijstandsnorm stel</t>
  </si>
  <si>
    <t>175 % sociaal minimum AOW alleenstaande</t>
  </si>
  <si>
    <t>175 % sociaal minimum AOW stel</t>
  </si>
  <si>
    <t>200 % bijstandsnorm</t>
  </si>
  <si>
    <t>200 % bijstandsnorm alleenstaande</t>
  </si>
  <si>
    <t>200 % bijstandsnorm stel</t>
  </si>
  <si>
    <t>200 % sociaal minimum AOW alleenstaande</t>
  </si>
  <si>
    <t>200 % sociaal minimum AOW stel</t>
  </si>
  <si>
    <t>-</t>
  </si>
  <si>
    <t>Draagkracht</t>
  </si>
  <si>
    <t>Lastenverhoging</t>
  </si>
  <si>
    <t>LASTENVERHOGING ALLEENSTAANDE</t>
  </si>
  <si>
    <t>LASTENVERHOGING STEL</t>
  </si>
  <si>
    <t>LASTENVERHOGING AOW ALLEENSTAAND</t>
  </si>
  <si>
    <t>LASTENVERHOGING AOW STEL</t>
  </si>
  <si>
    <t>BIJSTANDSNORM</t>
  </si>
  <si>
    <t>125 % bijstandsnorm alleenstaande</t>
  </si>
  <si>
    <t>125 % bijstandsnorm stel</t>
  </si>
  <si>
    <t>125 % sociaal minimum AOW alleenstaande</t>
  </si>
  <si>
    <t>125 % sociaal minimum AOW stel</t>
  </si>
  <si>
    <t>175% BN</t>
  </si>
  <si>
    <t>Alleenstaand</t>
  </si>
  <si>
    <t>Stel</t>
  </si>
  <si>
    <t>AOW Alleenstaand</t>
  </si>
  <si>
    <t>AOW Stel</t>
  </si>
  <si>
    <t>125 % bijstandsnorm</t>
  </si>
  <si>
    <t>Bedrag</t>
  </si>
  <si>
    <t>Verschil</t>
  </si>
  <si>
    <t>Aandeel NWF</t>
  </si>
  <si>
    <t>Rente NWF</t>
  </si>
  <si>
    <t>Aandeel SVn</t>
  </si>
  <si>
    <t>Rente Svn</t>
  </si>
  <si>
    <t>Opbouw lening</t>
  </si>
  <si>
    <t>Maandelijkse betaling NWF</t>
  </si>
  <si>
    <t>Maandelijkse betaling SVn</t>
  </si>
  <si>
    <t>Looptijd lening NWF</t>
  </si>
  <si>
    <t>Looptijd lening SVn</t>
  </si>
  <si>
    <t xml:space="preserve">Maandelijkse verhoging </t>
  </si>
  <si>
    <t>Maandelijkse verhoging</t>
  </si>
  <si>
    <t>Bereik vangnet</t>
  </si>
  <si>
    <t>Subsidie 2 (SVVE)</t>
  </si>
  <si>
    <t>Subsidie 3 (VHF)</t>
  </si>
  <si>
    <t>Subsidie 1 (gemeente)</t>
  </si>
  <si>
    <t xml:space="preserve">Hoe het werkt </t>
  </si>
  <si>
    <t>Disclaimer</t>
  </si>
  <si>
    <t>Totale uitgaven vangnet (gemaximeerd)</t>
  </si>
  <si>
    <t>Uitgave vangnet per jaar (zonder totale max)</t>
  </si>
  <si>
    <t>Restant maandelijkse verhoging na ledenlening (excl. Negatieve getallen)</t>
  </si>
  <si>
    <t>De toename van lasten als gevolg van onderhoud en verduurzaming wordt berekend voor een periode van tien jaar, en vergeleken met de (veronderstelde) draagkracht van huishoudens met verschillende inkomensniveaus. Het overzicht van de</t>
  </si>
  <si>
    <t>Vanwege de methodiek en scoping van deze tool is een aantal kleine afwijkingen (vooralsnog) voor lief genomen:</t>
  </si>
  <si>
    <t>150% (Ledenlening)</t>
  </si>
  <si>
    <t>125% BN (Ledenlening)</t>
  </si>
  <si>
    <t>Draagkrachtformule alleenstaand</t>
  </si>
  <si>
    <t>Draagkrachtformule stel</t>
  </si>
  <si>
    <t>Draagkrachtformule AOW alleenstaand</t>
  </si>
  <si>
    <t>Draagkrachtformule AOW stel</t>
  </si>
  <si>
    <t>NB: Deze draagkrachtformules zijn opgesteld o.b.v. de beleidsregels van de gemeente Utrecht</t>
  </si>
  <si>
    <t>Tekort</t>
  </si>
  <si>
    <t>NB: LASTENVERHOGING GEDURENDE EERSTE TIEN JAAR</t>
  </si>
  <si>
    <t>NB: som van positieve getallen, per jaar!</t>
  </si>
  <si>
    <t>Latenverhoging voor vangnet</t>
  </si>
  <si>
    <t>125% BN</t>
  </si>
  <si>
    <t>150% BN</t>
  </si>
  <si>
    <t>NWF Ledenlening</t>
  </si>
  <si>
    <t>Maximaal bedrag</t>
  </si>
  <si>
    <t>Maximaal maandelijks bedrag NWF-Ledenlening</t>
  </si>
  <si>
    <t>VERDUURZAMINGSSCENARIO'S</t>
  </si>
  <si>
    <t>Aandeel SVn*</t>
  </si>
  <si>
    <t>Rente Svn*</t>
  </si>
  <si>
    <t>Looptijd lening SVn*</t>
  </si>
  <si>
    <r>
      <t>*</t>
    </r>
    <r>
      <rPr>
        <i/>
        <sz val="11"/>
        <color theme="1"/>
        <rFont val="Aptos Narrow"/>
        <scheme val="minor"/>
      </rPr>
      <t>Of een andere financier</t>
    </r>
  </si>
  <si>
    <t>LASTENVERHOGING AOW ALLEENSTAANDE</t>
  </si>
  <si>
    <t>PREVIEW</t>
  </si>
  <si>
    <t>LASTENVERHOGING ALLEENSTAANDE / GROTE VVE</t>
  </si>
  <si>
    <t>LASTENVERHOGING ALLEENSTAANDE / KLEINE VVE</t>
  </si>
  <si>
    <t>GROTE VVE'S</t>
  </si>
  <si>
    <t>KLEINE VVE'S</t>
  </si>
  <si>
    <t>Totaalbedrag (max)</t>
  </si>
  <si>
    <t xml:space="preserve">Inkomensgrens (% BN) </t>
  </si>
  <si>
    <t xml:space="preserve">Deze scan is gemaakt door IPW-Klimaatwerk, en tot stand gekomen in het VvE-vangnet-actieonderzoek dat is gesubsidieerd door het Ministerie van Volkshuisvesting en Ruimtelijke Ordening. </t>
  </si>
  <si>
    <t xml:space="preserve">Waar de draagkrachtscan voor is </t>
  </si>
  <si>
    <t xml:space="preserve">Het is een beleidsinstrument om in te schatten welke inkomensgroepen in financiële problemen kunnen komen door de VvE-verduurzaming, en hoe groot die problemen grofweg zijn. </t>
  </si>
  <si>
    <t>Waar de draagkrachtscan niet voor is</t>
  </si>
  <si>
    <t xml:space="preserve">De scan is niet bedoeld om individuele casuïstiek mee te beoordelen! Daarvoor is een veel vollediger beeld van de persoonlijke en financiële situatie nodig. </t>
  </si>
  <si>
    <t>In het tabblad 'Input' kunnen in de blauwe vakken de variabelen worden ingevuld. Het gaat dan om de subsidies, de financiering, investeringen en verwachte energiebesparing.</t>
  </si>
  <si>
    <t>lastenstijging en of de draagkracht voldoende is om deze stijging op te vangen staat weergegeven in de tabbladen met 'Output'. Er zijn twee tabbladen met output: één voor grote en één voor kleine VvE's, met als verschil</t>
  </si>
  <si>
    <t xml:space="preserve">dat kleine VvE's geen gebruik kunnen maken van de VvE-ledenlening van het Warmtefonds. </t>
  </si>
  <si>
    <t>Vul alleen de blauwe vakken in!</t>
  </si>
  <si>
    <t>In de tabbladen achter 'BEREKENINGEN HIERNA' zijn de berekeningen zichtbaar voor de groepen die (i) gebruik maken van een aanvullende isolatiesubsidie voor lagere inkomensgroepen en de NWF-ledenlening</t>
  </si>
  <si>
    <t xml:space="preserve">(ii) alleen de aanvullende subsidie voor lagere inkomensgroepen gebruiken, (iii) alleen de NWF-ledenlening gebruiken of tot slot (iv) geen aanvullende regelingen genieten. De aanvullende subsidie voor lagere </t>
  </si>
  <si>
    <t xml:space="preserve">inkomensgroepen verschilt van andere subsidies omdat deze compenseert voor de lastenverhoging tot de subsidie op is, en dus niet - zoals andere subsidies - van het totale investeringsbedrag wordt afgehaald waarna </t>
  </si>
  <si>
    <t xml:space="preserve">de lastenverhoging wordt berekend. Ook kan het dus voorkomen dat deze subsidie niet volledig wordt opgebruikt. </t>
  </si>
  <si>
    <t xml:space="preserve">In het tabblad 'Aannames over draagkracht' staat voor verschillende inkomensniveaus weergegeven wat de veronderstelde draagkracht is. In dit document is uitgegaan van de draagkrachtregels van de gemeente Utrecht. Het </t>
  </si>
  <si>
    <t xml:space="preserve">is uiteraard mogelijk om deze aan te passen; dat kan wederom in de blauwe vakken. </t>
  </si>
  <si>
    <t xml:space="preserve">Zie je iets dat niet klopt? Of heb je feedback, tips of vragen? Mail dan naar mees@klimaatwerk.nu; daarmee kunnen we de scan doorontwikkelen! </t>
  </si>
  <si>
    <t xml:space="preserve">Hoewel we deze scan zorgvuldig hebben opgebouwd en feedback van betrokkenen hebben ontvangen op een eerdere versie, kunnen er uiteraard nog fouten in staan. </t>
  </si>
  <si>
    <t>BELANGRIJKE INFORMATIE OVER DE VVE-DRAAGKRACHTSCAN</t>
  </si>
  <si>
    <t>125% BN (Aanvullende subsidie)</t>
  </si>
  <si>
    <t>125% BN (Aanvullende subsidie + Ledenlening)</t>
  </si>
  <si>
    <t xml:space="preserve">zo lopen de berekeningen per jaar, niet per maand. Dat levert kleine discrepanties op t.o.v. de werkelijke situatie. </t>
  </si>
  <si>
    <t xml:space="preserve">Dit bestand helpt beleidsmakers op hoofdlijnen inzichtelijk te maken hoe nationale en lokale subsidies van invloed zijn op de financiele situatie van huishoudens met verschillende inkomensniveaus bij uiteenlopende verduurzamingsscenario's voor VvE's </t>
  </si>
  <si>
    <t>Ook geeft de scan een beeld van de effecten van aanvullende subsidies en regelingen, andere financieringsvoorwaarden, vangnet-regelingen en verschillende investeringsscenario's zijn op de bestaanszekerheid.</t>
  </si>
  <si>
    <t>Isolatiesubsidie voor lage inkomens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</si>
</sst>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_(&quot;€&quot;\ * \(#,##0.00\);_(&quot;€&quot;\ * &quot;-&quot;??_);_(@_)"/>
    <numFmt numFmtId="164" formatCode="_ &quot;€&quot;\ * #,##0.00_ ;_ &quot;€&quot;\ * \-#,##0.00_ ;_ &quot;€&quot;\ * &quot;-&quot;??_ ;_ @_ "/>
    <numFmt numFmtId="165" formatCode="&quot;€&quot;\ #,##0.00"/>
    <numFmt numFmtId="166" formatCode="&quot;€&quot;\ #,##0"/>
    <numFmt numFmtId="167" formatCode="0.0%"/>
    <numFmt numFmtId="168" formatCode="_(&quot;€&quot;\ * #,##0_);_(&quot;€&quot;\ * \(#,##0\);_(&quot;€&quot;\ * &quot;-&quot;??_);_(@_)"/>
  </numFmts>
  <fonts count="24" x14ac:knownFonts="1">
    <font>
      <sz val="11"/>
      <color theme="1"/>
      <name val="Aptos Narrow"/>
      <family val="2"/>
      <scheme val="minor"/>
    </font>
    <font>
      <b/>
      <sz val="11"/>
      <color theme="1"/>
      <name val="Aptos Narrow"/>
      <family val="2"/>
      <scheme val="minor"/>
    </font>
    <font>
      <b/>
      <sz val="18"/>
      <color theme="1"/>
      <name val="Aptos Narrow"/>
      <family val="2"/>
      <scheme val="minor"/>
    </font>
    <font>
      <b/>
      <sz val="18"/>
      <color rgb="FFFF0000"/>
      <name val="Aptos Narrow"/>
      <family val="2"/>
      <scheme val="minor"/>
    </font>
    <font>
      <sz val="11"/>
      <color theme="1"/>
      <name val="Aptos Narrow"/>
      <family val="2"/>
      <scheme val="minor"/>
    </font>
    <font>
      <b/>
      <sz val="11"/>
      <color theme="1"/>
      <name val="Aptos Narrow"/>
      <scheme val="minor"/>
    </font>
    <font>
      <sz val="11"/>
      <color theme="1"/>
      <name val="Aptos Narrow"/>
      <scheme val="minor"/>
    </font>
    <font>
      <i/>
      <sz val="11"/>
      <color theme="1"/>
      <name val="Aptos Narrow"/>
      <scheme val="minor"/>
    </font>
    <font>
      <b/>
      <sz val="18"/>
      <color theme="1"/>
      <name val="Aptos Narrow"/>
      <scheme val="minor"/>
    </font>
    <font>
      <b/>
      <sz val="14"/>
      <color theme="1"/>
      <name val="Aptos Narrow"/>
      <scheme val="minor"/>
    </font>
    <font>
      <u/>
      <sz val="11"/>
      <color theme="10"/>
      <name val="Aptos Narrow"/>
      <family val="2"/>
      <scheme val="minor"/>
    </font>
    <font>
      <sz val="12"/>
      <color theme="1"/>
      <name val="Aptos Narrow"/>
      <scheme val="minor"/>
    </font>
    <font>
      <b/>
      <sz val="12"/>
      <color theme="1"/>
      <name val="Aptos Narrow"/>
      <scheme val="minor"/>
    </font>
    <font>
      <sz val="9"/>
      <color theme="1"/>
      <name val="Aptos Narrow"/>
      <scheme val="minor"/>
    </font>
    <font>
      <sz val="10"/>
      <color theme="1"/>
      <name val="Aptos Narrow"/>
      <scheme val="minor"/>
    </font>
    <font>
      <sz val="11"/>
      <color rgb="FF333333"/>
      <name val="Aptos Narrow"/>
      <scheme val="minor"/>
    </font>
    <font>
      <b/>
      <sz val="10"/>
      <color theme="1"/>
      <name val="Aptos Narrow (Hoofdtekst)"/>
    </font>
    <font>
      <b/>
      <sz val="10"/>
      <color theme="1"/>
      <name val="Aptos Narrow"/>
      <scheme val="minor"/>
    </font>
    <font>
      <b/>
      <sz val="16"/>
      <color theme="1"/>
      <name val="Aptos Narrow"/>
      <scheme val="minor"/>
    </font>
    <font>
      <sz val="14"/>
      <color theme="1"/>
      <name val="Aptos Narrow"/>
      <scheme val="minor"/>
    </font>
    <font>
      <i/>
      <sz val="14"/>
      <color theme="1"/>
      <name val="Aptos Narrow"/>
      <scheme val="minor"/>
    </font>
    <font>
      <sz val="14"/>
      <color theme="1"/>
      <name val="Aptos Narrow"/>
      <family val="2"/>
      <scheme val="minor"/>
    </font>
    <font>
      <b/>
      <sz val="22"/>
      <color theme="1"/>
      <name val="Aptos Narrow"/>
      <scheme val="minor"/>
    </font>
    <font>
      <i/>
      <sz val="9"/>
      <color theme="1"/>
      <name val="Aptos Narrow"/>
      <scheme val="minor"/>
    </font>
  </fonts>
  <fills count="15">
    <fill>
      <patternFill patternType="none"/>
    </fill>
    <fill>
      <patternFill patternType="gray125"/>
    </fill>
    <fill>
      <patternFill patternType="solid">
        <fgColor rgb="FFFFFF00"/>
        <bgColor indexed="64"/>
      </patternFill>
    </fill>
    <fill>
      <patternFill patternType="solid">
        <fgColor theme="2"/>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94DDF8"/>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7FFDE"/>
        <bgColor indexed="64"/>
      </patternFill>
    </fill>
    <fill>
      <patternFill patternType="solid">
        <fgColor rgb="FFF7F7F7"/>
        <bgColor indexed="64"/>
      </patternFill>
    </fill>
    <fill>
      <patternFill patternType="solid">
        <fgColor rgb="FFE8E8E8"/>
        <bgColor indexed="64"/>
      </patternFill>
    </fill>
  </fills>
  <borders count="33">
    <border>
      <left/>
      <right/>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4">
    <xf numFmtId="0" fontId="0" fillId="0" borderId="0"/>
    <xf numFmtId="44" fontId="4" fillId="0" borderId="0" applyFont="0" applyFill="0" applyBorder="0" applyAlignment="0" applyProtection="0"/>
    <xf numFmtId="9" fontId="4" fillId="0" borderId="0" applyFont="0" applyFill="0" applyBorder="0" applyAlignment="0" applyProtection="0"/>
    <xf numFmtId="0" fontId="10" fillId="0" borderId="0" applyNumberFormat="0" applyFill="0" applyBorder="0" applyAlignment="0" applyProtection="0"/>
  </cellStyleXfs>
  <cellXfs count="231">
    <xf numFmtId="0" fontId="0" fillId="0" borderId="0" xfId="0"/>
    <xf numFmtId="0" fontId="1" fillId="0" borderId="0" xfId="0" applyFont="1"/>
    <xf numFmtId="165" fontId="1" fillId="0" borderId="0" xfId="0" applyNumberFormat="1" applyFont="1"/>
    <xf numFmtId="165" fontId="0" fillId="0" borderId="0" xfId="0" applyNumberFormat="1"/>
    <xf numFmtId="0" fontId="0" fillId="0" borderId="0" xfId="0" applyAlignment="1">
      <alignment wrapText="1"/>
    </xf>
    <xf numFmtId="165" fontId="0" fillId="0" borderId="0" xfId="0" applyNumberFormat="1" applyAlignment="1">
      <alignment vertical="top" wrapText="1"/>
    </xf>
    <xf numFmtId="0" fontId="0" fillId="0" borderId="0" xfId="0" applyAlignment="1">
      <alignment vertical="top" wrapText="1"/>
    </xf>
    <xf numFmtId="165" fontId="2" fillId="0" borderId="0" xfId="0" applyNumberFormat="1" applyFont="1"/>
    <xf numFmtId="0" fontId="3" fillId="0" borderId="0" xfId="0" applyFont="1"/>
    <xf numFmtId="0" fontId="5" fillId="0" borderId="0" xfId="0" applyFont="1"/>
    <xf numFmtId="165" fontId="6" fillId="0" borderId="0" xfId="0" applyNumberFormat="1" applyFont="1"/>
    <xf numFmtId="0" fontId="6" fillId="0" borderId="0" xfId="0" applyFont="1"/>
    <xf numFmtId="165" fontId="5" fillId="0" borderId="0" xfId="0" applyNumberFormat="1" applyFont="1"/>
    <xf numFmtId="165" fontId="7" fillId="0" borderId="0" xfId="0" applyNumberFormat="1" applyFont="1"/>
    <xf numFmtId="1" fontId="7" fillId="0" borderId="0" xfId="0" applyNumberFormat="1" applyFont="1"/>
    <xf numFmtId="0" fontId="0" fillId="3" borderId="1" xfId="0" applyFill="1" applyBorder="1"/>
    <xf numFmtId="0" fontId="0" fillId="3" borderId="2" xfId="0" applyFill="1" applyBorder="1"/>
    <xf numFmtId="164" fontId="7" fillId="0" borderId="3" xfId="0" applyNumberFormat="1" applyFont="1" applyBorder="1"/>
    <xf numFmtId="0" fontId="5" fillId="3" borderId="3" xfId="0" applyFont="1" applyFill="1" applyBorder="1"/>
    <xf numFmtId="0" fontId="0" fillId="3" borderId="4" xfId="0" applyFill="1" applyBorder="1"/>
    <xf numFmtId="166" fontId="0" fillId="0" borderId="0" xfId="0" applyNumberFormat="1" applyAlignment="1">
      <alignment vertical="center" wrapText="1"/>
    </xf>
    <xf numFmtId="166" fontId="0" fillId="0" borderId="0" xfId="0" applyNumberFormat="1" applyAlignment="1">
      <alignment horizontal="right" vertical="center" wrapText="1"/>
    </xf>
    <xf numFmtId="166" fontId="0" fillId="0" borderId="0" xfId="0" applyNumberFormat="1"/>
    <xf numFmtId="166" fontId="1" fillId="0" borderId="0" xfId="0" applyNumberFormat="1" applyFont="1"/>
    <xf numFmtId="164" fontId="7" fillId="0" borderId="0" xfId="0" applyNumberFormat="1" applyFont="1"/>
    <xf numFmtId="165" fontId="7" fillId="0" borderId="0" xfId="0" applyNumberFormat="1" applyFont="1" applyAlignment="1">
      <alignment wrapText="1"/>
    </xf>
    <xf numFmtId="10" fontId="0" fillId="0" borderId="0" xfId="2" applyNumberFormat="1" applyFont="1" applyFill="1" applyBorder="1" applyAlignment="1">
      <alignment horizontal="left"/>
    </xf>
    <xf numFmtId="0" fontId="0" fillId="0" borderId="0" xfId="0" applyAlignment="1">
      <alignment horizontal="left"/>
    </xf>
    <xf numFmtId="44" fontId="0" fillId="0" borderId="0" xfId="1" applyFont="1" applyFill="1" applyBorder="1" applyAlignment="1">
      <alignment horizontal="left"/>
    </xf>
    <xf numFmtId="44" fontId="0" fillId="0" borderId="0" xfId="1" applyFont="1" applyFill="1" applyBorder="1"/>
    <xf numFmtId="0" fontId="0" fillId="3" borderId="3" xfId="0" applyFill="1" applyBorder="1"/>
    <xf numFmtId="166" fontId="1" fillId="0" borderId="0" xfId="0" applyNumberFormat="1" applyFont="1" applyAlignment="1">
      <alignment horizontal="right"/>
    </xf>
    <xf numFmtId="165" fontId="0" fillId="0" borderId="11" xfId="0" applyNumberFormat="1" applyBorder="1" applyAlignment="1">
      <alignment vertical="top" wrapText="1"/>
    </xf>
    <xf numFmtId="0" fontId="0" fillId="0" borderId="12" xfId="0" applyBorder="1" applyAlignment="1">
      <alignment vertical="top" wrapText="1"/>
    </xf>
    <xf numFmtId="0" fontId="0" fillId="3" borderId="9" xfId="0" applyFill="1" applyBorder="1" applyAlignment="1">
      <alignment vertical="top" wrapText="1"/>
    </xf>
    <xf numFmtId="0" fontId="0" fillId="0" borderId="0" xfId="0" applyAlignment="1">
      <alignment horizontal="center"/>
    </xf>
    <xf numFmtId="44" fontId="0" fillId="0" borderId="0" xfId="1" applyFont="1"/>
    <xf numFmtId="166" fontId="0" fillId="0" borderId="0" xfId="0" applyNumberFormat="1" applyAlignment="1">
      <alignment horizontal="right" vertical="center"/>
    </xf>
    <xf numFmtId="166" fontId="6" fillId="0" borderId="0" xfId="0" applyNumberFormat="1" applyFont="1" applyAlignment="1">
      <alignment horizontal="right" vertical="center"/>
    </xf>
    <xf numFmtId="166" fontId="6" fillId="0" borderId="0" xfId="0" applyNumberFormat="1" applyFont="1" applyAlignment="1">
      <alignment vertical="center"/>
    </xf>
    <xf numFmtId="166" fontId="0" fillId="3" borderId="10" xfId="0" applyNumberFormat="1" applyFill="1" applyBorder="1"/>
    <xf numFmtId="166" fontId="5" fillId="0" borderId="0" xfId="0" applyNumberFormat="1" applyFont="1"/>
    <xf numFmtId="166" fontId="0" fillId="0" borderId="4" xfId="0" applyNumberFormat="1" applyBorder="1"/>
    <xf numFmtId="166" fontId="0" fillId="4" borderId="5" xfId="1" applyNumberFormat="1" applyFont="1" applyFill="1" applyBorder="1" applyAlignment="1">
      <alignment horizontal="left"/>
    </xf>
    <xf numFmtId="166" fontId="0" fillId="4" borderId="6" xfId="1" applyNumberFormat="1" applyFont="1" applyFill="1" applyBorder="1" applyAlignment="1">
      <alignment horizontal="left"/>
    </xf>
    <xf numFmtId="166" fontId="0" fillId="4" borderId="7" xfId="1" applyNumberFormat="1" applyFont="1" applyFill="1" applyBorder="1" applyAlignment="1">
      <alignment horizontal="left"/>
    </xf>
    <xf numFmtId="9" fontId="0" fillId="0" borderId="0" xfId="2" applyFont="1" applyAlignment="1">
      <alignment horizontal="center"/>
    </xf>
    <xf numFmtId="0" fontId="7" fillId="0" borderId="0" xfId="0" applyFont="1" applyAlignment="1">
      <alignment horizontal="center"/>
    </xf>
    <xf numFmtId="166" fontId="0" fillId="0" borderId="0" xfId="1" applyNumberFormat="1" applyFont="1"/>
    <xf numFmtId="166" fontId="0" fillId="0" borderId="0" xfId="1" applyNumberFormat="1" applyFont="1" applyFill="1" applyBorder="1" applyAlignment="1">
      <alignment horizontal="left"/>
    </xf>
    <xf numFmtId="0" fontId="6" fillId="3" borderId="5" xfId="0" applyFont="1" applyFill="1" applyBorder="1"/>
    <xf numFmtId="0" fontId="6" fillId="3" borderId="6" xfId="0" applyFont="1" applyFill="1" applyBorder="1"/>
    <xf numFmtId="0" fontId="6" fillId="3" borderId="7" xfId="0" applyFont="1" applyFill="1" applyBorder="1"/>
    <xf numFmtId="0" fontId="9" fillId="0" borderId="0" xfId="0" applyFont="1"/>
    <xf numFmtId="166" fontId="0" fillId="0" borderId="0" xfId="1" applyNumberFormat="1" applyFont="1" applyFill="1" applyAlignment="1">
      <alignment horizontal="right" vertical="center" wrapText="1"/>
    </xf>
    <xf numFmtId="166" fontId="0" fillId="0" borderId="0" xfId="1" applyNumberFormat="1" applyFont="1" applyFill="1" applyAlignment="1">
      <alignment horizontal="right" vertical="center"/>
    </xf>
    <xf numFmtId="166" fontId="0" fillId="0" borderId="0" xfId="1" applyNumberFormat="1" applyFont="1" applyFill="1" applyAlignment="1">
      <alignment vertical="center"/>
    </xf>
    <xf numFmtId="166" fontId="0" fillId="6" borderId="15" xfId="0" applyNumberFormat="1" applyFill="1" applyBorder="1" applyAlignment="1">
      <alignment horizontal="left"/>
    </xf>
    <xf numFmtId="166" fontId="0" fillId="6" borderId="5" xfId="0" applyNumberFormat="1" applyFill="1" applyBorder="1" applyAlignment="1">
      <alignment horizontal="left"/>
    </xf>
    <xf numFmtId="166" fontId="0" fillId="4" borderId="16" xfId="2" applyNumberFormat="1" applyFont="1" applyFill="1" applyBorder="1" applyAlignment="1">
      <alignment horizontal="left"/>
    </xf>
    <xf numFmtId="166" fontId="0" fillId="4" borderId="6" xfId="2" applyNumberFormat="1" applyFont="1" applyFill="1" applyBorder="1" applyAlignment="1">
      <alignment horizontal="left"/>
    </xf>
    <xf numFmtId="166" fontId="0" fillId="4" borderId="17" xfId="0" applyNumberFormat="1" applyFill="1" applyBorder="1" applyAlignment="1">
      <alignment horizontal="left"/>
    </xf>
    <xf numFmtId="166" fontId="0" fillId="4" borderId="7" xfId="0" applyNumberFormat="1" applyFill="1" applyBorder="1" applyAlignment="1">
      <alignment horizontal="left"/>
    </xf>
    <xf numFmtId="165" fontId="0" fillId="0" borderId="0" xfId="1" applyNumberFormat="1" applyFont="1"/>
    <xf numFmtId="166" fontId="0" fillId="0" borderId="20" xfId="0" applyNumberFormat="1" applyBorder="1"/>
    <xf numFmtId="166" fontId="0" fillId="0" borderId="21" xfId="0" applyNumberFormat="1" applyBorder="1"/>
    <xf numFmtId="0" fontId="0" fillId="0" borderId="0" xfId="0" applyAlignment="1">
      <alignment horizontal="center" vertical="center"/>
    </xf>
    <xf numFmtId="166" fontId="0" fillId="0" borderId="19" xfId="0" applyNumberFormat="1" applyBorder="1"/>
    <xf numFmtId="9" fontId="0" fillId="0" borderId="17" xfId="2" applyFont="1" applyBorder="1" applyAlignment="1">
      <alignment horizontal="center"/>
    </xf>
    <xf numFmtId="166" fontId="6" fillId="0" borderId="16" xfId="0" applyNumberFormat="1" applyFont="1" applyBorder="1" applyAlignment="1">
      <alignment horizontal="center"/>
    </xf>
    <xf numFmtId="166" fontId="6" fillId="0" borderId="17" xfId="0" applyNumberFormat="1" applyFont="1" applyBorder="1" applyAlignment="1">
      <alignment horizontal="center"/>
    </xf>
    <xf numFmtId="0" fontId="0" fillId="0" borderId="22" xfId="0" applyBorder="1" applyAlignment="1">
      <alignment vertical="top" wrapText="1"/>
    </xf>
    <xf numFmtId="0" fontId="11" fillId="0" borderId="0" xfId="0" applyFont="1"/>
    <xf numFmtId="0" fontId="12" fillId="0" borderId="0" xfId="0" applyFont="1"/>
    <xf numFmtId="49" fontId="12" fillId="0" borderId="0" xfId="0" applyNumberFormat="1" applyFont="1" applyAlignment="1">
      <alignment wrapText="1"/>
    </xf>
    <xf numFmtId="9" fontId="11" fillId="0" borderId="0" xfId="0" applyNumberFormat="1" applyFont="1"/>
    <xf numFmtId="10" fontId="11" fillId="0" borderId="0" xfId="0" applyNumberFormat="1" applyFont="1"/>
    <xf numFmtId="0" fontId="13" fillId="0" borderId="0" xfId="0" applyFont="1"/>
    <xf numFmtId="0" fontId="10" fillId="0" borderId="0" xfId="3"/>
    <xf numFmtId="166" fontId="6" fillId="0" borderId="1" xfId="0" applyNumberFormat="1" applyFont="1" applyBorder="1" applyAlignment="1">
      <alignment horizontal="center"/>
    </xf>
    <xf numFmtId="166" fontId="6" fillId="0" borderId="2" xfId="0" applyNumberFormat="1" applyFont="1" applyBorder="1" applyAlignment="1">
      <alignment horizontal="center"/>
    </xf>
    <xf numFmtId="166" fontId="6" fillId="0" borderId="13" xfId="0" applyNumberFormat="1" applyFont="1" applyBorder="1" applyAlignment="1">
      <alignment horizontal="center"/>
    </xf>
    <xf numFmtId="166" fontId="6" fillId="0" borderId="15" xfId="0" applyNumberFormat="1" applyFont="1" applyBorder="1" applyAlignment="1">
      <alignment horizontal="center"/>
    </xf>
    <xf numFmtId="0" fontId="14" fillId="0" borderId="0" xfId="0" applyFont="1"/>
    <xf numFmtId="165" fontId="15" fillId="0" borderId="0" xfId="0" applyNumberFormat="1" applyFont="1"/>
    <xf numFmtId="9" fontId="6" fillId="0" borderId="0" xfId="0" applyNumberFormat="1" applyFont="1"/>
    <xf numFmtId="0" fontId="16" fillId="0" borderId="0" xfId="0" applyFont="1"/>
    <xf numFmtId="0" fontId="0" fillId="3" borderId="5" xfId="0" applyFill="1" applyBorder="1"/>
    <xf numFmtId="0" fontId="0" fillId="3" borderId="6" xfId="0" applyFill="1" applyBorder="1"/>
    <xf numFmtId="0" fontId="0" fillId="3" borderId="7" xfId="0" applyFill="1" applyBorder="1"/>
    <xf numFmtId="167" fontId="0" fillId="4" borderId="15" xfId="1" applyNumberFormat="1" applyFont="1" applyFill="1" applyBorder="1" applyAlignment="1">
      <alignment horizontal="left" vertical="center"/>
    </xf>
    <xf numFmtId="167" fontId="0" fillId="4" borderId="16" xfId="1" applyNumberFormat="1" applyFont="1" applyFill="1" applyBorder="1" applyAlignment="1">
      <alignment horizontal="left" vertical="center"/>
    </xf>
    <xf numFmtId="167" fontId="0" fillId="4" borderId="16" xfId="0" applyNumberFormat="1" applyFill="1" applyBorder="1" applyAlignment="1">
      <alignment horizontal="left" vertical="center"/>
    </xf>
    <xf numFmtId="166" fontId="0" fillId="8" borderId="5" xfId="1" applyNumberFormat="1" applyFont="1" applyFill="1" applyBorder="1" applyAlignment="1">
      <alignment horizontal="left"/>
    </xf>
    <xf numFmtId="166" fontId="0" fillId="8" borderId="6" xfId="1" applyNumberFormat="1" applyFont="1" applyFill="1" applyBorder="1" applyAlignment="1">
      <alignment horizontal="left"/>
    </xf>
    <xf numFmtId="166" fontId="0" fillId="8" borderId="7" xfId="1" applyNumberFormat="1" applyFont="1" applyFill="1" applyBorder="1" applyAlignment="1">
      <alignment horizontal="left"/>
    </xf>
    <xf numFmtId="166" fontId="0" fillId="8" borderId="8" xfId="1" applyNumberFormat="1" applyFont="1" applyFill="1" applyBorder="1" applyAlignment="1">
      <alignment horizontal="left"/>
    </xf>
    <xf numFmtId="167" fontId="0" fillId="8" borderId="15" xfId="1" applyNumberFormat="1" applyFont="1" applyFill="1" applyBorder="1" applyAlignment="1">
      <alignment horizontal="left" vertical="center"/>
    </xf>
    <xf numFmtId="167" fontId="0" fillId="8" borderId="16" xfId="1" applyNumberFormat="1" applyFont="1" applyFill="1" applyBorder="1" applyAlignment="1">
      <alignment horizontal="left" vertical="center"/>
    </xf>
    <xf numFmtId="0" fontId="0" fillId="8" borderId="17" xfId="0" applyFill="1" applyBorder="1" applyAlignment="1">
      <alignment horizontal="left" vertical="center"/>
    </xf>
    <xf numFmtId="167" fontId="0" fillId="8" borderId="16" xfId="0" applyNumberFormat="1" applyFill="1" applyBorder="1" applyAlignment="1">
      <alignment horizontal="left" vertical="center"/>
    </xf>
    <xf numFmtId="0" fontId="0" fillId="0" borderId="9" xfId="0" applyBorder="1" applyAlignment="1">
      <alignment vertical="top" wrapText="1"/>
    </xf>
    <xf numFmtId="9" fontId="0" fillId="0" borderId="8" xfId="2" applyFont="1" applyBorder="1" applyAlignment="1">
      <alignment horizontal="center"/>
    </xf>
    <xf numFmtId="0" fontId="0" fillId="0" borderId="17" xfId="2" applyNumberFormat="1" applyFont="1" applyBorder="1" applyAlignment="1">
      <alignment horizontal="center"/>
    </xf>
    <xf numFmtId="166" fontId="6" fillId="0" borderId="5" xfId="0" applyNumberFormat="1" applyFont="1" applyBorder="1" applyAlignment="1">
      <alignment horizontal="center"/>
    </xf>
    <xf numFmtId="166" fontId="6" fillId="0" borderId="6" xfId="0" applyNumberFormat="1" applyFont="1" applyBorder="1" applyAlignment="1">
      <alignment horizontal="center"/>
    </xf>
    <xf numFmtId="166" fontId="6" fillId="0" borderId="7" xfId="0" applyNumberFormat="1" applyFont="1" applyBorder="1" applyAlignment="1">
      <alignment horizontal="center"/>
    </xf>
    <xf numFmtId="0" fontId="17" fillId="0" borderId="0" xfId="0" applyFont="1"/>
    <xf numFmtId="165" fontId="14" fillId="0" borderId="0" xfId="0" applyNumberFormat="1" applyFont="1"/>
    <xf numFmtId="0" fontId="0" fillId="6" borderId="17" xfId="0" applyFill="1" applyBorder="1" applyAlignment="1">
      <alignment horizontal="left" vertical="center"/>
    </xf>
    <xf numFmtId="9" fontId="0" fillId="0" borderId="4" xfId="2" applyFont="1" applyFill="1" applyBorder="1" applyAlignment="1">
      <alignment horizontal="center"/>
    </xf>
    <xf numFmtId="0" fontId="18" fillId="0" borderId="0" xfId="0" applyFont="1"/>
    <xf numFmtId="0" fontId="19" fillId="0" borderId="0" xfId="0" applyFont="1"/>
    <xf numFmtId="0" fontId="14" fillId="6" borderId="0" xfId="0" applyFont="1" applyFill="1"/>
    <xf numFmtId="165" fontId="14" fillId="6" borderId="0" xfId="0" applyNumberFormat="1" applyFont="1" applyFill="1"/>
    <xf numFmtId="0" fontId="19" fillId="2" borderId="0" xfId="0" applyFont="1" applyFill="1"/>
    <xf numFmtId="0" fontId="0" fillId="2" borderId="0" xfId="0" applyFill="1"/>
    <xf numFmtId="164" fontId="7" fillId="0" borderId="18" xfId="0" applyNumberFormat="1" applyFont="1" applyBorder="1"/>
    <xf numFmtId="0" fontId="0" fillId="9" borderId="4" xfId="0" applyFill="1" applyBorder="1"/>
    <xf numFmtId="0" fontId="0" fillId="9" borderId="18" xfId="0" applyFill="1" applyBorder="1"/>
    <xf numFmtId="0" fontId="20" fillId="0" borderId="0" xfId="0" applyFont="1"/>
    <xf numFmtId="0" fontId="21" fillId="0" borderId="0" xfId="0" applyFont="1"/>
    <xf numFmtId="0" fontId="22" fillId="9" borderId="3" xfId="0" applyFont="1" applyFill="1" applyBorder="1"/>
    <xf numFmtId="0" fontId="0" fillId="3" borderId="13" xfId="0" applyFill="1" applyBorder="1"/>
    <xf numFmtId="0" fontId="6" fillId="7" borderId="5" xfId="0" applyFont="1" applyFill="1" applyBorder="1" applyAlignment="1">
      <alignment horizontal="center"/>
    </xf>
    <xf numFmtId="0" fontId="6" fillId="7" borderId="6" xfId="0" applyFont="1" applyFill="1" applyBorder="1" applyAlignment="1">
      <alignment horizontal="center"/>
    </xf>
    <xf numFmtId="0" fontId="6" fillId="7" borderId="7" xfId="0" applyFont="1" applyFill="1" applyBorder="1" applyAlignment="1">
      <alignment horizontal="center"/>
    </xf>
    <xf numFmtId="9" fontId="0" fillId="6" borderId="8" xfId="2" applyFont="1" applyFill="1" applyBorder="1" applyAlignment="1">
      <alignment horizontal="left"/>
    </xf>
    <xf numFmtId="9" fontId="0" fillId="0" borderId="4" xfId="2" applyFont="1" applyBorder="1" applyAlignment="1">
      <alignment horizontal="center"/>
    </xf>
    <xf numFmtId="0" fontId="23" fillId="0" borderId="0" xfId="0" applyFont="1"/>
    <xf numFmtId="9" fontId="0" fillId="0" borderId="16" xfId="2" applyFont="1" applyBorder="1" applyAlignment="1">
      <alignment horizontal="center"/>
    </xf>
    <xf numFmtId="166" fontId="6" fillId="0" borderId="0" xfId="0" applyNumberFormat="1" applyFont="1" applyAlignment="1">
      <alignment horizontal="center"/>
    </xf>
    <xf numFmtId="9" fontId="0" fillId="0" borderId="5" xfId="2" applyFont="1" applyBorder="1" applyAlignment="1">
      <alignment horizontal="center"/>
    </xf>
    <xf numFmtId="0" fontId="6" fillId="7" borderId="15" xfId="0" applyFont="1" applyFill="1" applyBorder="1" applyAlignment="1">
      <alignment horizontal="center"/>
    </xf>
    <xf numFmtId="0" fontId="6" fillId="7" borderId="16" xfId="0" applyFont="1" applyFill="1" applyBorder="1" applyAlignment="1">
      <alignment horizontal="center"/>
    </xf>
    <xf numFmtId="0" fontId="6" fillId="7" borderId="17" xfId="0" applyFont="1" applyFill="1" applyBorder="1" applyAlignment="1">
      <alignment horizontal="center"/>
    </xf>
    <xf numFmtId="9" fontId="0" fillId="0" borderId="15" xfId="2" applyFont="1" applyBorder="1" applyAlignment="1">
      <alignment horizontal="center"/>
    </xf>
    <xf numFmtId="9" fontId="0" fillId="0" borderId="0" xfId="2" applyFont="1" applyFill="1" applyBorder="1" applyAlignment="1">
      <alignment horizontal="center"/>
    </xf>
    <xf numFmtId="0" fontId="6" fillId="0" borderId="0" xfId="0" applyFont="1" applyAlignment="1">
      <alignment horizontal="center"/>
    </xf>
    <xf numFmtId="0" fontId="9" fillId="0" borderId="0" xfId="0" applyFont="1" applyAlignment="1">
      <alignment horizontal="center" vertical="center"/>
    </xf>
    <xf numFmtId="0" fontId="0" fillId="0" borderId="0" xfId="2" applyNumberFormat="1" applyFont="1" applyFill="1" applyBorder="1" applyAlignment="1">
      <alignment horizontal="center"/>
    </xf>
    <xf numFmtId="9" fontId="0" fillId="0" borderId="7" xfId="2" applyFont="1" applyBorder="1" applyAlignment="1">
      <alignment horizontal="center"/>
    </xf>
    <xf numFmtId="9" fontId="0" fillId="0" borderId="2" xfId="2" applyFont="1" applyBorder="1" applyAlignment="1">
      <alignment horizontal="center"/>
    </xf>
    <xf numFmtId="0" fontId="12" fillId="3" borderId="8" xfId="0" applyFont="1" applyFill="1" applyBorder="1" applyAlignment="1">
      <alignment horizontal="center" vertical="center"/>
    </xf>
    <xf numFmtId="0" fontId="12" fillId="3" borderId="4" xfId="0" applyFont="1" applyFill="1" applyBorder="1" applyAlignment="1">
      <alignment horizontal="center" vertical="center"/>
    </xf>
    <xf numFmtId="166" fontId="0" fillId="0" borderId="10" xfId="0" applyNumberFormat="1" applyBorder="1"/>
    <xf numFmtId="0" fontId="0" fillId="3" borderId="8" xfId="0" applyFill="1" applyBorder="1"/>
    <xf numFmtId="166" fontId="0" fillId="0" borderId="24" xfId="0" applyNumberFormat="1" applyBorder="1"/>
    <xf numFmtId="166" fontId="0" fillId="0" borderId="3" xfId="0" applyNumberFormat="1" applyBorder="1"/>
    <xf numFmtId="9" fontId="0" fillId="0" borderId="15" xfId="2" applyFont="1" applyFill="1" applyBorder="1" applyAlignment="1">
      <alignment horizontal="center"/>
    </xf>
    <xf numFmtId="0" fontId="0" fillId="11" borderId="0" xfId="0" applyFill="1"/>
    <xf numFmtId="0" fontId="18" fillId="0" borderId="0" xfId="0" applyFont="1" applyAlignment="1">
      <alignment horizontal="center" vertical="center"/>
    </xf>
    <xf numFmtId="0" fontId="8" fillId="0" borderId="0" xfId="0" applyFont="1" applyAlignment="1">
      <alignment horizontal="center" vertical="center"/>
    </xf>
    <xf numFmtId="0" fontId="0" fillId="12" borderId="0" xfId="0" applyFill="1"/>
    <xf numFmtId="0" fontId="0" fillId="13" borderId="25" xfId="0" applyFill="1" applyBorder="1"/>
    <xf numFmtId="0" fontId="0" fillId="13" borderId="26" xfId="0" applyFill="1" applyBorder="1"/>
    <xf numFmtId="0" fontId="0" fillId="13" borderId="27" xfId="0" applyFill="1" applyBorder="1"/>
    <xf numFmtId="0" fontId="0" fillId="13" borderId="28" xfId="0" applyFill="1" applyBorder="1"/>
    <xf numFmtId="0" fontId="0" fillId="13" borderId="0" xfId="0" applyFill="1"/>
    <xf numFmtId="0" fontId="0" fillId="13" borderId="29" xfId="0" applyFill="1" applyBorder="1"/>
    <xf numFmtId="0" fontId="0" fillId="13" borderId="0" xfId="0" applyFill="1" applyAlignment="1">
      <alignment horizontal="center" vertical="center"/>
    </xf>
    <xf numFmtId="9" fontId="0" fillId="13" borderId="5" xfId="2" applyFont="1" applyFill="1" applyBorder="1" applyAlignment="1">
      <alignment horizontal="center"/>
    </xf>
    <xf numFmtId="9" fontId="0" fillId="13" borderId="15" xfId="2" applyFont="1" applyFill="1" applyBorder="1" applyAlignment="1">
      <alignment horizontal="center"/>
    </xf>
    <xf numFmtId="9" fontId="0" fillId="13" borderId="0" xfId="2" applyFont="1" applyFill="1" applyBorder="1" applyAlignment="1">
      <alignment horizontal="center"/>
    </xf>
    <xf numFmtId="9" fontId="0" fillId="13" borderId="8" xfId="2" applyFont="1" applyFill="1" applyBorder="1" applyAlignment="1">
      <alignment horizontal="center"/>
    </xf>
    <xf numFmtId="9" fontId="0" fillId="13" borderId="4" xfId="2" applyFont="1" applyFill="1" applyBorder="1" applyAlignment="1">
      <alignment horizontal="center"/>
    </xf>
    <xf numFmtId="9" fontId="0" fillId="13" borderId="7" xfId="2" applyFont="1" applyFill="1" applyBorder="1" applyAlignment="1">
      <alignment horizontal="center"/>
    </xf>
    <xf numFmtId="9" fontId="0" fillId="13" borderId="17" xfId="2" applyFont="1" applyFill="1" applyBorder="1" applyAlignment="1">
      <alignment horizontal="center"/>
    </xf>
    <xf numFmtId="9" fontId="0" fillId="13" borderId="2" xfId="2" applyFont="1" applyFill="1" applyBorder="1" applyAlignment="1">
      <alignment horizontal="center"/>
    </xf>
    <xf numFmtId="0" fontId="0" fillId="13" borderId="17" xfId="2" applyNumberFormat="1" applyFont="1" applyFill="1" applyBorder="1" applyAlignment="1">
      <alignment horizontal="center"/>
    </xf>
    <xf numFmtId="0" fontId="0" fillId="13" borderId="0" xfId="2" applyNumberFormat="1" applyFont="1" applyFill="1" applyBorder="1" applyAlignment="1">
      <alignment horizontal="center"/>
    </xf>
    <xf numFmtId="168" fontId="0" fillId="13" borderId="5" xfId="1" applyNumberFormat="1" applyFont="1" applyFill="1" applyBorder="1"/>
    <xf numFmtId="166" fontId="6" fillId="13" borderId="15" xfId="0" applyNumberFormat="1" applyFont="1" applyFill="1" applyBorder="1" applyAlignment="1">
      <alignment horizontal="center"/>
    </xf>
    <xf numFmtId="168" fontId="0" fillId="13" borderId="6" xfId="1" applyNumberFormat="1" applyFont="1" applyFill="1" applyBorder="1"/>
    <xf numFmtId="166" fontId="6" fillId="13" borderId="16" xfId="0" applyNumberFormat="1" applyFont="1" applyFill="1" applyBorder="1" applyAlignment="1">
      <alignment horizontal="center"/>
    </xf>
    <xf numFmtId="168" fontId="0" fillId="13" borderId="7" xfId="1" applyNumberFormat="1" applyFont="1" applyFill="1" applyBorder="1"/>
    <xf numFmtId="166" fontId="6" fillId="13" borderId="17" xfId="0" applyNumberFormat="1" applyFont="1" applyFill="1" applyBorder="1" applyAlignment="1">
      <alignment horizontal="center"/>
    </xf>
    <xf numFmtId="9" fontId="0" fillId="13" borderId="16" xfId="2" applyFont="1" applyFill="1" applyBorder="1" applyAlignment="1">
      <alignment horizontal="center"/>
    </xf>
    <xf numFmtId="0" fontId="0" fillId="13" borderId="30" xfId="0" applyFill="1" applyBorder="1"/>
    <xf numFmtId="0" fontId="0" fillId="13" borderId="31" xfId="0" applyFill="1" applyBorder="1"/>
    <xf numFmtId="0" fontId="0" fillId="13" borderId="32" xfId="0" applyFill="1" applyBorder="1"/>
    <xf numFmtId="166" fontId="6" fillId="0" borderId="4" xfId="0" applyNumberFormat="1" applyFont="1" applyBorder="1" applyAlignment="1">
      <alignment horizontal="center"/>
    </xf>
    <xf numFmtId="166" fontId="0" fillId="14" borderId="17" xfId="1" applyNumberFormat="1" applyFont="1" applyFill="1" applyBorder="1" applyAlignment="1">
      <alignment horizontal="left"/>
    </xf>
    <xf numFmtId="0" fontId="9" fillId="9" borderId="3" xfId="0" applyFont="1" applyFill="1" applyBorder="1" applyAlignment="1">
      <alignment horizontal="center" vertical="center"/>
    </xf>
    <xf numFmtId="0" fontId="9" fillId="9" borderId="18" xfId="0" applyFont="1" applyFill="1" applyBorder="1" applyAlignment="1">
      <alignment horizontal="center" vertical="center"/>
    </xf>
    <xf numFmtId="0" fontId="9" fillId="9" borderId="4" xfId="0" applyFont="1" applyFill="1" applyBorder="1" applyAlignment="1">
      <alignment horizontal="center" vertical="center"/>
    </xf>
    <xf numFmtId="0" fontId="0" fillId="13" borderId="13" xfId="0" applyFill="1" applyBorder="1" applyAlignment="1">
      <alignment horizontal="center" vertical="center"/>
    </xf>
    <xf numFmtId="0" fontId="0" fillId="13" borderId="23" xfId="0" applyFill="1" applyBorder="1" applyAlignment="1">
      <alignment horizontal="center" vertical="center"/>
    </xf>
    <xf numFmtId="0" fontId="0" fillId="13" borderId="4" xfId="0" applyFill="1" applyBorder="1" applyAlignment="1">
      <alignment horizontal="center" vertical="center"/>
    </xf>
    <xf numFmtId="9" fontId="0" fillId="13" borderId="3" xfId="0" applyNumberFormat="1" applyFill="1" applyBorder="1" applyAlignment="1">
      <alignment horizontal="center" vertical="center"/>
    </xf>
    <xf numFmtId="0" fontId="0" fillId="13" borderId="18" xfId="0" applyFill="1" applyBorder="1" applyAlignment="1">
      <alignment horizontal="center" vertical="center"/>
    </xf>
    <xf numFmtId="0" fontId="0" fillId="13" borderId="3" xfId="0" applyFill="1" applyBorder="1" applyAlignment="1">
      <alignment horizontal="center" vertical="center"/>
    </xf>
    <xf numFmtId="9" fontId="0" fillId="10" borderId="3" xfId="0" applyNumberFormat="1" applyFill="1" applyBorder="1" applyAlignment="1">
      <alignment horizontal="center" vertical="center"/>
    </xf>
    <xf numFmtId="9" fontId="0" fillId="10" borderId="18" xfId="0" applyNumberFormat="1" applyFill="1" applyBorder="1" applyAlignment="1">
      <alignment horizontal="center" vertical="center"/>
    </xf>
    <xf numFmtId="0" fontId="0" fillId="10" borderId="4" xfId="0" applyFill="1" applyBorder="1" applyAlignment="1">
      <alignment horizontal="center" vertical="center"/>
    </xf>
    <xf numFmtId="0" fontId="12" fillId="3" borderId="3" xfId="0" applyFont="1" applyFill="1" applyBorder="1" applyAlignment="1">
      <alignment horizontal="center"/>
    </xf>
    <xf numFmtId="0" fontId="12" fillId="3" borderId="4" xfId="0" applyFont="1" applyFill="1" applyBorder="1" applyAlignment="1">
      <alignment horizontal="center"/>
    </xf>
    <xf numFmtId="0" fontId="9" fillId="0" borderId="0" xfId="0" applyFont="1" applyAlignment="1">
      <alignment horizontal="left"/>
    </xf>
    <xf numFmtId="0" fontId="9" fillId="0" borderId="14" xfId="0" applyFont="1" applyBorder="1" applyAlignment="1">
      <alignment horizontal="center"/>
    </xf>
    <xf numFmtId="0" fontId="9" fillId="0" borderId="0" xfId="0" applyFont="1" applyAlignment="1">
      <alignment horizontal="center"/>
    </xf>
    <xf numFmtId="0" fontId="12" fillId="3" borderId="13" xfId="0" applyFont="1" applyFill="1" applyBorder="1" applyAlignment="1">
      <alignment horizontal="center" vertical="center"/>
    </xf>
    <xf numFmtId="0" fontId="12" fillId="3" borderId="15"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4" xfId="0" applyFont="1" applyFill="1" applyBorder="1" applyAlignment="1">
      <alignment horizontal="center" vertical="center"/>
    </xf>
    <xf numFmtId="0" fontId="0" fillId="0" borderId="13" xfId="0" applyBorder="1" applyAlignment="1">
      <alignment horizontal="center" vertical="center"/>
    </xf>
    <xf numFmtId="0" fontId="0" fillId="0" borderId="23" xfId="0" applyBorder="1" applyAlignment="1">
      <alignment horizontal="center" vertical="center"/>
    </xf>
    <xf numFmtId="0" fontId="0" fillId="0" borderId="4" xfId="0" applyBorder="1" applyAlignment="1">
      <alignment horizontal="center" vertical="center"/>
    </xf>
    <xf numFmtId="0" fontId="8" fillId="11" borderId="3" xfId="0" applyFont="1" applyFill="1" applyBorder="1" applyAlignment="1">
      <alignment horizontal="center" vertical="center"/>
    </xf>
    <xf numFmtId="0" fontId="8" fillId="11" borderId="18" xfId="0" applyFont="1" applyFill="1" applyBorder="1" applyAlignment="1">
      <alignment horizontal="center" vertical="center"/>
    </xf>
    <xf numFmtId="0" fontId="8" fillId="11" borderId="4" xfId="0" applyFont="1" applyFill="1" applyBorder="1" applyAlignment="1">
      <alignment horizontal="center" vertical="center"/>
    </xf>
    <xf numFmtId="0" fontId="9" fillId="5" borderId="3" xfId="0" applyFont="1" applyFill="1" applyBorder="1" applyAlignment="1">
      <alignment horizontal="center" vertical="center"/>
    </xf>
    <xf numFmtId="0" fontId="9" fillId="5" borderId="18" xfId="0" applyFont="1" applyFill="1" applyBorder="1" applyAlignment="1">
      <alignment horizontal="center" vertical="center"/>
    </xf>
    <xf numFmtId="0" fontId="9" fillId="5" borderId="4"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18" xfId="0" applyFont="1" applyFill="1" applyBorder="1" applyAlignment="1">
      <alignment horizontal="center" vertical="center"/>
    </xf>
    <xf numFmtId="0" fontId="8" fillId="2" borderId="4" xfId="0" applyFont="1" applyFill="1" applyBorder="1" applyAlignment="1">
      <alignment horizontal="center" vertical="center"/>
    </xf>
    <xf numFmtId="0" fontId="0" fillId="0" borderId="3" xfId="0" applyBorder="1" applyAlignment="1">
      <alignment horizontal="center" vertical="center"/>
    </xf>
    <xf numFmtId="0" fontId="0" fillId="0" borderId="18" xfId="0" applyBorder="1" applyAlignment="1">
      <alignment horizontal="center" vertical="center"/>
    </xf>
    <xf numFmtId="0" fontId="0" fillId="0" borderId="3" xfId="0" applyBorder="1" applyAlignment="1">
      <alignment horizontal="center"/>
    </xf>
    <xf numFmtId="0" fontId="0" fillId="0" borderId="18" xfId="0" applyBorder="1" applyAlignment="1">
      <alignment horizontal="center"/>
    </xf>
    <xf numFmtId="0" fontId="0" fillId="0" borderId="4" xfId="0" applyBorder="1" applyAlignment="1">
      <alignment horizontal="center"/>
    </xf>
    <xf numFmtId="0" fontId="0" fillId="0" borderId="0" xfId="0" applyAlignment="1">
      <alignment horizontal="center"/>
    </xf>
    <xf numFmtId="0" fontId="8" fillId="12" borderId="3" xfId="0" applyFont="1" applyFill="1" applyBorder="1" applyAlignment="1">
      <alignment horizontal="center" vertical="center"/>
    </xf>
    <xf numFmtId="0" fontId="8" fillId="12" borderId="18" xfId="0" applyFont="1" applyFill="1" applyBorder="1" applyAlignment="1">
      <alignment horizontal="center" vertical="center"/>
    </xf>
    <xf numFmtId="0" fontId="8" fillId="12" borderId="4" xfId="0" applyFont="1" applyFill="1" applyBorder="1" applyAlignment="1">
      <alignment horizontal="center" vertical="center"/>
    </xf>
    <xf numFmtId="9" fontId="0" fillId="0" borderId="3" xfId="0" applyNumberFormat="1" applyBorder="1" applyAlignment="1">
      <alignment horizontal="center" vertical="center"/>
    </xf>
    <xf numFmtId="9" fontId="0" fillId="10" borderId="4" xfId="0" applyNumberFormat="1" applyFill="1" applyBorder="1" applyAlignment="1">
      <alignment horizontal="center" vertical="center"/>
    </xf>
    <xf numFmtId="0" fontId="5" fillId="3" borderId="13" xfId="0" applyFont="1" applyFill="1" applyBorder="1" applyAlignment="1">
      <alignment horizontal="left" vertical="center"/>
    </xf>
    <xf numFmtId="0" fontId="5" fillId="3" borderId="15" xfId="0" applyFont="1" applyFill="1" applyBorder="1" applyAlignment="1">
      <alignment horizontal="left" vertical="center"/>
    </xf>
    <xf numFmtId="165" fontId="1" fillId="0" borderId="0" xfId="0" applyNumberFormat="1" applyFont="1" applyAlignment="1">
      <alignment horizontal="center"/>
    </xf>
    <xf numFmtId="165" fontId="1" fillId="5" borderId="0" xfId="0" applyNumberFormat="1" applyFont="1" applyFill="1" applyAlignment="1">
      <alignment horizontal="center"/>
    </xf>
  </cellXfs>
  <cellStyles count="4">
    <cellStyle name="Hyperlink" xfId="3" builtinId="8"/>
    <cellStyle name="Procent" xfId="2" builtinId="5"/>
    <cellStyle name="Standaard" xfId="0" builtinId="0"/>
    <cellStyle name="Valuta" xfId="1" builtinId="4"/>
  </cellStyles>
  <dxfs count="17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E8E8E8"/>
      <color rgb="FFF7F7F7"/>
      <color rgb="FFFAFAFA"/>
      <color rgb="FFF0F0F0"/>
      <color rgb="FFF7FFDE"/>
      <color rgb="FFC5FFDE"/>
      <color rgb="FFFFE5F6"/>
      <color rgb="FFFFDAFE"/>
      <color rgb="FF94DDF8"/>
      <color rgb="FFD6ED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D31D1-963F-D848-B4F8-FACE9B98952A}">
  <sheetPr>
    <tabColor theme="3" tint="0.89999084444715716"/>
  </sheetPr>
  <dimension ref="A1:I33"/>
  <sheetViews>
    <sheetView showGridLines="0" topLeftCell="A12" workbookViewId="0">
      <selection activeCell="D34" sqref="D34"/>
    </sheetView>
  </sheetViews>
  <sheetFormatPr baseColWidth="10" defaultRowHeight="19" x14ac:dyDescent="0.25"/>
  <cols>
    <col min="1" max="1" width="10.83203125" style="112"/>
  </cols>
  <sheetData>
    <row r="1" spans="1:9" ht="30" thickBot="1" x14ac:dyDescent="0.4">
      <c r="A1" s="122" t="s">
        <v>135</v>
      </c>
      <c r="B1" s="119"/>
      <c r="C1" s="119"/>
      <c r="D1" s="119"/>
      <c r="E1" s="119"/>
      <c r="F1" s="118"/>
      <c r="G1" s="119"/>
      <c r="H1" s="118"/>
      <c r="I1" s="118"/>
    </row>
    <row r="2" spans="1:9" x14ac:dyDescent="0.25">
      <c r="A2" s="120" t="s">
        <v>118</v>
      </c>
    </row>
    <row r="3" spans="1:9" x14ac:dyDescent="0.25">
      <c r="A3" s="53"/>
    </row>
    <row r="4" spans="1:9" ht="22" x14ac:dyDescent="0.3">
      <c r="A4" s="111" t="s">
        <v>119</v>
      </c>
    </row>
    <row r="5" spans="1:9" x14ac:dyDescent="0.25">
      <c r="A5" s="112" t="s">
        <v>139</v>
      </c>
    </row>
    <row r="6" spans="1:9" x14ac:dyDescent="0.25">
      <c r="A6" s="112" t="s">
        <v>120</v>
      </c>
    </row>
    <row r="7" spans="1:9" x14ac:dyDescent="0.25">
      <c r="A7" s="112" t="s">
        <v>140</v>
      </c>
    </row>
    <row r="9" spans="1:9" ht="22" x14ac:dyDescent="0.3">
      <c r="A9" s="111" t="s">
        <v>121</v>
      </c>
    </row>
    <row r="10" spans="1:9" x14ac:dyDescent="0.25">
      <c r="A10" s="115" t="s">
        <v>122</v>
      </c>
      <c r="B10" s="116"/>
      <c r="C10" s="116"/>
      <c r="D10" s="116"/>
      <c r="E10" s="116"/>
      <c r="F10" s="116"/>
    </row>
    <row r="12" spans="1:9" ht="22" x14ac:dyDescent="0.3">
      <c r="A12" s="111" t="s">
        <v>82</v>
      </c>
    </row>
    <row r="13" spans="1:9" x14ac:dyDescent="0.25">
      <c r="A13" s="112" t="s">
        <v>123</v>
      </c>
    </row>
    <row r="14" spans="1:9" x14ac:dyDescent="0.25">
      <c r="A14" s="115" t="s">
        <v>126</v>
      </c>
      <c r="B14" s="116"/>
      <c r="C14" s="116"/>
    </row>
    <row r="16" spans="1:9" x14ac:dyDescent="0.25">
      <c r="A16" s="112" t="s">
        <v>87</v>
      </c>
    </row>
    <row r="17" spans="1:1" x14ac:dyDescent="0.25">
      <c r="A17" s="112" t="s">
        <v>124</v>
      </c>
    </row>
    <row r="18" spans="1:1" x14ac:dyDescent="0.25">
      <c r="A18" s="112" t="s">
        <v>125</v>
      </c>
    </row>
    <row r="20" spans="1:1" x14ac:dyDescent="0.25">
      <c r="A20" s="112" t="s">
        <v>131</v>
      </c>
    </row>
    <row r="21" spans="1:1" x14ac:dyDescent="0.25">
      <c r="A21" s="112" t="s">
        <v>132</v>
      </c>
    </row>
    <row r="23" spans="1:1" x14ac:dyDescent="0.25">
      <c r="A23" s="112" t="s">
        <v>127</v>
      </c>
    </row>
    <row r="24" spans="1:1" x14ac:dyDescent="0.25">
      <c r="A24" s="112" t="s">
        <v>128</v>
      </c>
    </row>
    <row r="25" spans="1:1" x14ac:dyDescent="0.25">
      <c r="A25" s="112" t="s">
        <v>129</v>
      </c>
    </row>
    <row r="26" spans="1:1" x14ac:dyDescent="0.25">
      <c r="A26" s="112" t="s">
        <v>130</v>
      </c>
    </row>
    <row r="28" spans="1:1" ht="22" x14ac:dyDescent="0.3">
      <c r="A28" s="111" t="s">
        <v>83</v>
      </c>
    </row>
    <row r="29" spans="1:1" x14ac:dyDescent="0.25">
      <c r="A29" s="112" t="s">
        <v>134</v>
      </c>
    </row>
    <row r="30" spans="1:1" x14ac:dyDescent="0.25">
      <c r="A30" s="121" t="s">
        <v>133</v>
      </c>
    </row>
    <row r="32" spans="1:1" x14ac:dyDescent="0.25">
      <c r="A32" s="112" t="s">
        <v>88</v>
      </c>
    </row>
    <row r="33" spans="1:1" x14ac:dyDescent="0.25">
      <c r="A33" s="112" t="s">
        <v>138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25E48-7069-5D48-B065-6AE7F8DFC492}">
  <dimension ref="A1:W50"/>
  <sheetViews>
    <sheetView topLeftCell="J1" zoomScale="136" workbookViewId="0">
      <selection activeCell="R19" sqref="R19:R26"/>
    </sheetView>
  </sheetViews>
  <sheetFormatPr baseColWidth="10" defaultRowHeight="15" x14ac:dyDescent="0.2"/>
  <cols>
    <col min="1" max="1" width="12.33203125" customWidth="1"/>
    <col min="2" max="2" width="17.33203125" hidden="1" customWidth="1"/>
    <col min="3" max="3" width="10.1640625" hidden="1" customWidth="1"/>
    <col min="4" max="4" width="10.1640625" customWidth="1"/>
    <col min="5" max="5" width="11.33203125" customWidth="1"/>
    <col min="6" max="6" width="15.83203125" style="3" customWidth="1"/>
    <col min="7" max="7" width="17.1640625" customWidth="1"/>
    <col min="8" max="8" width="12.5" customWidth="1"/>
    <col min="9" max="9" width="15.6640625" customWidth="1"/>
    <col min="10" max="10" width="10.33203125" customWidth="1"/>
    <col min="11" max="11" width="9.1640625" customWidth="1"/>
    <col min="12" max="12" width="13.1640625" customWidth="1"/>
    <col min="13" max="14" width="16.5" customWidth="1"/>
    <col min="15" max="15" width="11.5" customWidth="1"/>
    <col min="16" max="16" width="13.6640625" customWidth="1"/>
    <col min="17" max="17" width="8.1640625" customWidth="1"/>
    <col min="18" max="18" width="8.83203125" customWidth="1"/>
    <col min="19" max="19" width="9.5" customWidth="1"/>
    <col min="20" max="20" width="21.33203125" style="3" customWidth="1"/>
    <col min="21" max="21" width="20.5" customWidth="1"/>
    <col min="22" max="22" width="12.33203125" customWidth="1"/>
    <col min="23" max="23" width="14.5" customWidth="1"/>
  </cols>
  <sheetData>
    <row r="1" spans="1:23" ht="24" x14ac:dyDescent="0.3">
      <c r="F1" s="7"/>
      <c r="N1" s="8"/>
    </row>
    <row r="2" spans="1:23" ht="16" thickBot="1" x14ac:dyDescent="0.25">
      <c r="B2" s="9"/>
      <c r="M2" s="3"/>
    </row>
    <row r="3" spans="1:23" ht="16" thickBot="1" x14ac:dyDescent="0.25">
      <c r="B3" s="18" t="s">
        <v>20</v>
      </c>
      <c r="C3" s="19"/>
      <c r="D3" s="26"/>
      <c r="F3" s="230" t="s">
        <v>0</v>
      </c>
      <c r="G3" s="230"/>
      <c r="H3" s="230"/>
      <c r="I3" s="230"/>
      <c r="M3" s="230" t="s">
        <v>1</v>
      </c>
      <c r="N3" s="230"/>
      <c r="O3" s="230"/>
      <c r="P3" s="230"/>
      <c r="T3" s="230" t="s">
        <v>2</v>
      </c>
      <c r="U3" s="230"/>
      <c r="V3" s="230"/>
      <c r="W3" s="230"/>
    </row>
    <row r="4" spans="1:23" x14ac:dyDescent="0.2">
      <c r="B4" s="15" t="s">
        <v>21</v>
      </c>
      <c r="C4" s="93">
        <f>Input!C5</f>
        <v>1500</v>
      </c>
      <c r="D4" s="27"/>
      <c r="F4" s="38">
        <f>Input!F5</f>
        <v>25000</v>
      </c>
      <c r="G4" s="11" t="s">
        <v>3</v>
      </c>
      <c r="H4" s="11"/>
      <c r="I4" s="11"/>
      <c r="J4" s="11"/>
      <c r="K4" s="11"/>
      <c r="L4" s="11"/>
      <c r="M4" s="38">
        <f>Input!F6</f>
        <v>50000</v>
      </c>
      <c r="N4" s="11" t="s">
        <v>3</v>
      </c>
      <c r="O4" s="11"/>
      <c r="P4" s="11"/>
      <c r="Q4" s="11"/>
      <c r="R4" s="11"/>
      <c r="S4" s="11"/>
      <c r="T4" s="39">
        <f>Input!F7</f>
        <v>75000</v>
      </c>
      <c r="U4" s="11" t="s">
        <v>4</v>
      </c>
      <c r="V4" s="11"/>
      <c r="W4" s="11"/>
    </row>
    <row r="5" spans="1:23" x14ac:dyDescent="0.2">
      <c r="B5" s="15" t="s">
        <v>22</v>
      </c>
      <c r="C5" s="94">
        <f>Input!C6</f>
        <v>2500</v>
      </c>
      <c r="F5" s="54">
        <f>Input!G5</f>
        <v>35</v>
      </c>
      <c r="G5" s="36" t="s">
        <v>5</v>
      </c>
      <c r="H5" s="36"/>
      <c r="I5" s="36"/>
      <c r="J5" s="36"/>
      <c r="K5" s="36"/>
      <c r="L5" s="36"/>
      <c r="M5" s="55">
        <f>Input!G6</f>
        <v>55</v>
      </c>
      <c r="N5" s="36" t="s">
        <v>5</v>
      </c>
      <c r="O5" s="36"/>
      <c r="P5" s="36"/>
      <c r="Q5" s="36"/>
      <c r="R5" s="36"/>
      <c r="S5" s="36"/>
      <c r="T5" s="56">
        <f>Input!G7</f>
        <v>70</v>
      </c>
      <c r="U5" t="s">
        <v>5</v>
      </c>
    </row>
    <row r="6" spans="1:23" ht="16" thickBot="1" x14ac:dyDescent="0.25">
      <c r="A6" s="9"/>
      <c r="B6" s="16" t="s">
        <v>23</v>
      </c>
      <c r="C6" s="95">
        <f>Input!C7</f>
        <v>0</v>
      </c>
      <c r="F6" s="37">
        <f>SUM($C$4:$C$6)</f>
        <v>4000</v>
      </c>
      <c r="G6" t="s">
        <v>28</v>
      </c>
      <c r="M6" s="37">
        <f>SUM($C$4:$C$6)</f>
        <v>4000</v>
      </c>
      <c r="N6" t="s">
        <v>28</v>
      </c>
      <c r="T6" s="37">
        <f>SUM($C$4:$C$6)</f>
        <v>4000</v>
      </c>
      <c r="U6" t="s">
        <v>28</v>
      </c>
      <c r="V6" s="9"/>
      <c r="W6" s="9"/>
    </row>
    <row r="7" spans="1:23" ht="16" thickBot="1" x14ac:dyDescent="0.25">
      <c r="B7" s="30" t="s">
        <v>24</v>
      </c>
      <c r="C7" s="96"/>
      <c r="D7" s="28"/>
      <c r="F7" s="38">
        <f>F4-F6</f>
        <v>21000</v>
      </c>
      <c r="G7" s="11" t="s">
        <v>27</v>
      </c>
      <c r="H7" s="9"/>
      <c r="M7" s="38">
        <f>M4-M6</f>
        <v>46000</v>
      </c>
      <c r="N7" s="11" t="s">
        <v>27</v>
      </c>
      <c r="T7" s="39">
        <f>T4-T6</f>
        <v>71000</v>
      </c>
      <c r="U7" s="11" t="s">
        <v>27</v>
      </c>
    </row>
    <row r="8" spans="1:23" ht="16" thickBot="1" x14ac:dyDescent="0.25">
      <c r="C8" s="49"/>
      <c r="D8" s="28"/>
      <c r="F8" s="22">
        <f>$C$10*F7</f>
        <v>21000</v>
      </c>
      <c r="G8" s="11" t="s">
        <v>67</v>
      </c>
      <c r="H8" s="4"/>
      <c r="I8" s="9"/>
      <c r="J8" s="9"/>
      <c r="K8" s="9"/>
      <c r="L8" s="9"/>
      <c r="M8" s="22">
        <f>$C$10*M7</f>
        <v>46000</v>
      </c>
      <c r="N8" s="11" t="s">
        <v>67</v>
      </c>
      <c r="O8" s="9"/>
      <c r="P8" s="9"/>
      <c r="Q8" s="9"/>
      <c r="R8" s="9"/>
      <c r="S8" s="9"/>
      <c r="T8" s="22">
        <f>$C$10*T7</f>
        <v>71000</v>
      </c>
      <c r="U8" s="11" t="s">
        <v>67</v>
      </c>
    </row>
    <row r="9" spans="1:23" ht="16" thickBot="1" x14ac:dyDescent="0.25">
      <c r="B9" s="227" t="s">
        <v>71</v>
      </c>
      <c r="C9" s="228"/>
      <c r="D9" s="29"/>
      <c r="F9" s="22">
        <f>IFERROR(PMT($C$11/12,$C$12*12,-F8),0)</f>
        <v>96.659426789154338</v>
      </c>
      <c r="G9" s="11" t="s">
        <v>72</v>
      </c>
      <c r="H9" s="1"/>
      <c r="I9" s="4"/>
      <c r="J9" s="4"/>
      <c r="K9" s="4"/>
      <c r="L9" s="4"/>
      <c r="M9" s="22">
        <f>IFERROR(PMT($C$11/12,$C$12*12,-M8),0)</f>
        <v>211.73017296671904</v>
      </c>
      <c r="N9" s="11" t="s">
        <v>72</v>
      </c>
      <c r="T9" s="22">
        <f>PMT($C$11/12,$C$12*12,-T8)</f>
        <v>326.80091914428368</v>
      </c>
      <c r="U9" s="11" t="s">
        <v>72</v>
      </c>
    </row>
    <row r="10" spans="1:23" x14ac:dyDescent="0.2">
      <c r="B10" s="87" t="s">
        <v>67</v>
      </c>
      <c r="C10" s="97">
        <f>Input!C14</f>
        <v>1</v>
      </c>
      <c r="D10" s="29"/>
      <c r="F10" s="22">
        <f>$C$13*F7</f>
        <v>0</v>
      </c>
      <c r="G10" s="11" t="s">
        <v>69</v>
      </c>
      <c r="H10" s="1"/>
      <c r="I10" s="4"/>
      <c r="J10" s="4"/>
      <c r="K10" s="4"/>
      <c r="L10" s="4"/>
      <c r="M10" s="22">
        <f>$C$13*M7</f>
        <v>0</v>
      </c>
      <c r="N10" s="11" t="s">
        <v>69</v>
      </c>
      <c r="O10" s="1"/>
      <c r="P10" s="1"/>
      <c r="Q10" s="1"/>
      <c r="R10" s="1"/>
      <c r="S10" s="1"/>
      <c r="T10" s="22">
        <f>$C$13*T7</f>
        <v>0</v>
      </c>
      <c r="U10" s="11" t="s">
        <v>69</v>
      </c>
    </row>
    <row r="11" spans="1:23" x14ac:dyDescent="0.2">
      <c r="A11" s="1"/>
      <c r="B11" s="88" t="s">
        <v>68</v>
      </c>
      <c r="C11" s="98">
        <f>Input!C15</f>
        <v>3.6999999999999998E-2</v>
      </c>
      <c r="D11" s="29"/>
      <c r="F11" s="22">
        <f>IFERROR(PMT($C$14/12,$C$15*12,-F10),0)</f>
        <v>0</v>
      </c>
      <c r="G11" s="11" t="s">
        <v>73</v>
      </c>
      <c r="H11" s="1"/>
      <c r="I11" s="4"/>
      <c r="J11" s="4"/>
      <c r="K11" s="4"/>
      <c r="L11" s="4"/>
      <c r="M11" s="22">
        <f>IFERROR(PMT($C$14/12,$C$15*12,-M10),0)</f>
        <v>0</v>
      </c>
      <c r="N11" s="11" t="s">
        <v>73</v>
      </c>
      <c r="O11" s="1"/>
      <c r="P11" s="1"/>
      <c r="Q11" s="1"/>
      <c r="R11" s="1"/>
      <c r="S11" s="1"/>
      <c r="T11" s="22">
        <f>IFERROR(PMT($C$14/12,$C$15*12,-T10),0)</f>
        <v>0</v>
      </c>
      <c r="U11" s="11" t="s">
        <v>73</v>
      </c>
    </row>
    <row r="12" spans="1:23" ht="16" thickBot="1" x14ac:dyDescent="0.25">
      <c r="B12" s="89" t="s">
        <v>74</v>
      </c>
      <c r="C12" s="99">
        <f>Input!C16</f>
        <v>30</v>
      </c>
      <c r="D12" s="29"/>
      <c r="H12" s="1"/>
      <c r="I12" s="4"/>
      <c r="J12" s="4"/>
      <c r="K12" s="4"/>
      <c r="L12" s="4"/>
      <c r="M12" s="3"/>
      <c r="O12" s="1"/>
      <c r="P12" s="1"/>
      <c r="Q12" s="6"/>
      <c r="R12" s="6"/>
      <c r="S12" s="1"/>
    </row>
    <row r="13" spans="1:23" x14ac:dyDescent="0.2">
      <c r="B13" s="88" t="s">
        <v>69</v>
      </c>
      <c r="C13" s="98">
        <f>Input!C17</f>
        <v>0</v>
      </c>
      <c r="D13" s="29"/>
      <c r="F13" s="21">
        <f>F9+F11</f>
        <v>96.659426789154338</v>
      </c>
      <c r="G13" t="s">
        <v>29</v>
      </c>
      <c r="H13" s="1"/>
      <c r="I13" s="4"/>
      <c r="J13" s="4"/>
      <c r="K13" s="4"/>
      <c r="L13" s="4"/>
      <c r="M13" s="21">
        <f>M9+M11</f>
        <v>211.73017296671904</v>
      </c>
      <c r="N13" t="s">
        <v>29</v>
      </c>
      <c r="O13" s="1"/>
      <c r="P13" s="1"/>
      <c r="Q13" s="3"/>
      <c r="R13" s="3"/>
      <c r="S13" s="1"/>
      <c r="T13" s="21">
        <f>T9+T11</f>
        <v>326.80091914428368</v>
      </c>
      <c r="U13" t="s">
        <v>29</v>
      </c>
    </row>
    <row r="14" spans="1:23" x14ac:dyDescent="0.2">
      <c r="B14" s="88" t="s">
        <v>70</v>
      </c>
      <c r="C14" s="100">
        <f>Input!C18</f>
        <v>0</v>
      </c>
      <c r="F14" s="31">
        <f>F13-F5</f>
        <v>61.659426789154338</v>
      </c>
      <c r="G14" s="1" t="s">
        <v>6</v>
      </c>
      <c r="I14" s="1"/>
      <c r="J14" s="1"/>
      <c r="K14" s="1"/>
      <c r="L14" s="1"/>
      <c r="M14" s="31">
        <f>M13-M5</f>
        <v>156.73017296671904</v>
      </c>
      <c r="N14" s="1" t="s">
        <v>6</v>
      </c>
      <c r="O14" s="1"/>
      <c r="P14" s="1"/>
      <c r="Q14" s="3"/>
      <c r="R14" s="3"/>
      <c r="S14" s="1"/>
      <c r="T14" s="31">
        <f>T13-T5</f>
        <v>256.80091914428368</v>
      </c>
      <c r="U14" s="1" t="s">
        <v>6</v>
      </c>
      <c r="V14" s="1"/>
      <c r="W14" s="1"/>
    </row>
    <row r="15" spans="1:23" ht="16" thickBot="1" x14ac:dyDescent="0.25">
      <c r="B15" s="89" t="s">
        <v>75</v>
      </c>
      <c r="C15" s="99">
        <f>Input!C19</f>
        <v>0</v>
      </c>
      <c r="D15" s="1"/>
      <c r="E15" s="1"/>
      <c r="F15" s="1"/>
      <c r="G15" s="1"/>
      <c r="H15" s="1"/>
      <c r="I15" s="1"/>
      <c r="J15" s="1"/>
      <c r="K15" s="1"/>
      <c r="L15" s="1"/>
      <c r="M15" s="1"/>
      <c r="N15" s="1"/>
      <c r="O15" s="1"/>
      <c r="P15" s="1"/>
      <c r="Q15" s="3"/>
      <c r="R15" s="3"/>
      <c r="S15" s="1"/>
      <c r="T15" s="1"/>
      <c r="U15" s="1"/>
      <c r="V15" s="1"/>
      <c r="W15" s="1"/>
    </row>
    <row r="16" spans="1:23" ht="32" x14ac:dyDescent="0.2">
      <c r="F16" s="5"/>
      <c r="G16" s="101" t="s">
        <v>76</v>
      </c>
      <c r="H16" s="6"/>
      <c r="I16" s="6"/>
      <c r="J16" s="6"/>
      <c r="K16" s="6"/>
      <c r="L16" s="6"/>
      <c r="M16" s="5"/>
      <c r="N16" s="101" t="s">
        <v>77</v>
      </c>
      <c r="O16" s="6"/>
      <c r="P16" s="6"/>
      <c r="Q16" s="3"/>
      <c r="R16" s="3"/>
      <c r="S16" s="6"/>
      <c r="T16" s="5"/>
      <c r="U16" s="101" t="s">
        <v>77</v>
      </c>
      <c r="V16" s="6"/>
      <c r="W16" s="6"/>
    </row>
    <row r="17" spans="1:23" x14ac:dyDescent="0.2">
      <c r="A17" s="1"/>
      <c r="D17" s="28"/>
      <c r="E17" s="11" t="s">
        <v>8</v>
      </c>
      <c r="F17" s="22"/>
      <c r="G17" s="22">
        <f>F$14</f>
        <v>61.659426789154338</v>
      </c>
      <c r="H17" s="22"/>
      <c r="I17" s="22"/>
      <c r="J17" s="3"/>
      <c r="K17" s="3"/>
      <c r="L17" s="11" t="s">
        <v>8</v>
      </c>
      <c r="M17" s="22"/>
      <c r="N17" s="22">
        <f>M$14</f>
        <v>156.73017296671904</v>
      </c>
      <c r="O17" s="22"/>
      <c r="P17" s="22"/>
      <c r="Q17" s="3"/>
      <c r="R17" s="3"/>
      <c r="S17" s="11" t="s">
        <v>8</v>
      </c>
      <c r="T17" s="22"/>
      <c r="U17" s="22">
        <f>T$14</f>
        <v>256.80091914428368</v>
      </c>
      <c r="V17" s="22"/>
      <c r="W17" s="22"/>
    </row>
    <row r="18" spans="1:23" x14ac:dyDescent="0.2">
      <c r="D18" s="28"/>
      <c r="E18" s="11" t="s">
        <v>9</v>
      </c>
      <c r="F18" s="22"/>
      <c r="G18" s="22">
        <f t="shared" ref="G18:G26" si="0">F$14</f>
        <v>61.659426789154338</v>
      </c>
      <c r="H18" s="22"/>
      <c r="I18" s="22"/>
      <c r="J18" s="3"/>
      <c r="K18" s="3"/>
      <c r="L18" s="11" t="s">
        <v>9</v>
      </c>
      <c r="M18" s="22"/>
      <c r="N18" s="22">
        <f t="shared" ref="N18:N26" si="1">M$14</f>
        <v>156.73017296671904</v>
      </c>
      <c r="O18" s="22"/>
      <c r="P18" s="22"/>
      <c r="Q18" s="3"/>
      <c r="R18" s="3"/>
      <c r="S18" s="11" t="s">
        <v>9</v>
      </c>
      <c r="T18" s="22"/>
      <c r="U18" s="22">
        <f t="shared" ref="U18:U26" si="2">T$14</f>
        <v>256.80091914428368</v>
      </c>
      <c r="V18" s="22"/>
      <c r="W18" s="22"/>
    </row>
    <row r="19" spans="1:23" x14ac:dyDescent="0.2">
      <c r="D19" s="29"/>
      <c r="E19" s="11" t="s">
        <v>10</v>
      </c>
      <c r="F19" s="22"/>
      <c r="G19" s="22">
        <f t="shared" si="0"/>
        <v>61.659426789154338</v>
      </c>
      <c r="H19" s="22"/>
      <c r="I19" s="22"/>
      <c r="J19" s="3"/>
      <c r="K19" s="3"/>
      <c r="L19" s="11" t="s">
        <v>10</v>
      </c>
      <c r="M19" s="22"/>
      <c r="N19" s="22">
        <f t="shared" si="1"/>
        <v>156.73017296671904</v>
      </c>
      <c r="O19" s="22"/>
      <c r="P19" s="22"/>
      <c r="Q19" s="3"/>
      <c r="R19" s="3"/>
      <c r="S19" s="11" t="s">
        <v>10</v>
      </c>
      <c r="T19" s="22"/>
      <c r="U19" s="22">
        <f t="shared" si="2"/>
        <v>256.80091914428368</v>
      </c>
      <c r="V19" s="22"/>
      <c r="W19" s="22"/>
    </row>
    <row r="20" spans="1:23" x14ac:dyDescent="0.2">
      <c r="E20" s="11" t="s">
        <v>11</v>
      </c>
      <c r="F20" s="22"/>
      <c r="G20" s="22">
        <f t="shared" si="0"/>
        <v>61.659426789154338</v>
      </c>
      <c r="H20" s="22"/>
      <c r="I20" s="22"/>
      <c r="J20" s="3"/>
      <c r="K20" s="3"/>
      <c r="L20" s="11" t="s">
        <v>11</v>
      </c>
      <c r="M20" s="22"/>
      <c r="N20" s="22">
        <f t="shared" si="1"/>
        <v>156.73017296671904</v>
      </c>
      <c r="O20" s="22"/>
      <c r="P20" s="22"/>
      <c r="Q20" s="3"/>
      <c r="R20" s="3"/>
      <c r="S20" s="11" t="s">
        <v>11</v>
      </c>
      <c r="T20" s="22"/>
      <c r="U20" s="22">
        <f t="shared" si="2"/>
        <v>256.80091914428368</v>
      </c>
      <c r="V20" s="22"/>
      <c r="W20" s="22"/>
    </row>
    <row r="21" spans="1:23" x14ac:dyDescent="0.2">
      <c r="D21" s="1"/>
      <c r="E21" s="11" t="s">
        <v>12</v>
      </c>
      <c r="F21" s="22"/>
      <c r="G21" s="22">
        <f t="shared" si="0"/>
        <v>61.659426789154338</v>
      </c>
      <c r="H21" s="22"/>
      <c r="I21" s="22"/>
      <c r="J21" s="3"/>
      <c r="K21" s="3"/>
      <c r="L21" s="11" t="s">
        <v>12</v>
      </c>
      <c r="M21" s="22"/>
      <c r="N21" s="22">
        <f t="shared" si="1"/>
        <v>156.73017296671904</v>
      </c>
      <c r="O21" s="22"/>
      <c r="P21" s="22"/>
      <c r="Q21" s="3"/>
      <c r="R21" s="3"/>
      <c r="S21" s="11" t="s">
        <v>12</v>
      </c>
      <c r="T21" s="22"/>
      <c r="U21" s="22">
        <f t="shared" si="2"/>
        <v>256.80091914428368</v>
      </c>
      <c r="V21" s="22"/>
      <c r="W21" s="22"/>
    </row>
    <row r="22" spans="1:23" x14ac:dyDescent="0.2">
      <c r="E22" s="11" t="s">
        <v>13</v>
      </c>
      <c r="F22" s="22"/>
      <c r="G22" s="22">
        <f t="shared" si="0"/>
        <v>61.659426789154338</v>
      </c>
      <c r="H22" s="22"/>
      <c r="I22" s="22"/>
      <c r="J22" s="3"/>
      <c r="K22" s="3"/>
      <c r="L22" s="11" t="s">
        <v>13</v>
      </c>
      <c r="M22" s="22"/>
      <c r="N22" s="22">
        <f t="shared" si="1"/>
        <v>156.73017296671904</v>
      </c>
      <c r="O22" s="22"/>
      <c r="P22" s="22"/>
      <c r="Q22" s="3"/>
      <c r="R22" s="3"/>
      <c r="S22" s="11" t="s">
        <v>13</v>
      </c>
      <c r="T22" s="22"/>
      <c r="U22" s="22">
        <f t="shared" si="2"/>
        <v>256.80091914428368</v>
      </c>
      <c r="V22" s="22"/>
      <c r="W22" s="22"/>
    </row>
    <row r="23" spans="1:23" x14ac:dyDescent="0.2">
      <c r="E23" s="11" t="s">
        <v>14</v>
      </c>
      <c r="F23" s="22"/>
      <c r="G23" s="22">
        <f t="shared" si="0"/>
        <v>61.659426789154338</v>
      </c>
      <c r="H23" s="22"/>
      <c r="I23" s="22"/>
      <c r="J23" s="3"/>
      <c r="K23" s="3"/>
      <c r="L23" s="11" t="s">
        <v>14</v>
      </c>
      <c r="M23" s="22"/>
      <c r="N23" s="22">
        <f t="shared" si="1"/>
        <v>156.73017296671904</v>
      </c>
      <c r="O23" s="22"/>
      <c r="P23" s="22"/>
      <c r="Q23" s="12"/>
      <c r="R23" s="12"/>
      <c r="S23" s="11" t="s">
        <v>14</v>
      </c>
      <c r="T23" s="22"/>
      <c r="U23" s="22">
        <f t="shared" si="2"/>
        <v>256.80091914428368</v>
      </c>
      <c r="V23" s="22"/>
      <c r="W23" s="22"/>
    </row>
    <row r="24" spans="1:23" x14ac:dyDescent="0.2">
      <c r="E24" s="11" t="s">
        <v>15</v>
      </c>
      <c r="F24" s="22"/>
      <c r="G24" s="22">
        <f t="shared" si="0"/>
        <v>61.659426789154338</v>
      </c>
      <c r="H24" s="22"/>
      <c r="I24" s="22"/>
      <c r="J24" s="3"/>
      <c r="K24" s="3"/>
      <c r="L24" s="11" t="s">
        <v>15</v>
      </c>
      <c r="M24" s="22"/>
      <c r="N24" s="22">
        <f t="shared" si="1"/>
        <v>156.73017296671904</v>
      </c>
      <c r="O24" s="22"/>
      <c r="P24" s="22"/>
      <c r="Q24" s="3"/>
      <c r="R24" s="3"/>
      <c r="S24" s="11" t="s">
        <v>15</v>
      </c>
      <c r="T24" s="22"/>
      <c r="U24" s="22">
        <f t="shared" si="2"/>
        <v>256.80091914428368</v>
      </c>
      <c r="V24" s="22"/>
      <c r="W24" s="22"/>
    </row>
    <row r="25" spans="1:23" x14ac:dyDescent="0.2">
      <c r="E25" s="11" t="s">
        <v>16</v>
      </c>
      <c r="F25" s="22"/>
      <c r="G25" s="22">
        <f t="shared" si="0"/>
        <v>61.659426789154338</v>
      </c>
      <c r="H25" s="22"/>
      <c r="I25" s="22"/>
      <c r="J25" s="3"/>
      <c r="K25" s="3"/>
      <c r="L25" s="11" t="s">
        <v>16</v>
      </c>
      <c r="M25" s="22"/>
      <c r="N25" s="22">
        <f t="shared" si="1"/>
        <v>156.73017296671904</v>
      </c>
      <c r="O25" s="22"/>
      <c r="P25" s="22"/>
      <c r="Q25" s="3"/>
      <c r="R25" s="3"/>
      <c r="S25" s="11" t="s">
        <v>16</v>
      </c>
      <c r="T25" s="22"/>
      <c r="U25" s="22">
        <f t="shared" si="2"/>
        <v>256.80091914428368</v>
      </c>
      <c r="V25" s="22"/>
      <c r="W25" s="22"/>
    </row>
    <row r="26" spans="1:23" x14ac:dyDescent="0.2">
      <c r="E26" s="11" t="s">
        <v>17</v>
      </c>
      <c r="F26" s="22"/>
      <c r="G26" s="22">
        <f t="shared" si="0"/>
        <v>61.659426789154338</v>
      </c>
      <c r="H26" s="22"/>
      <c r="I26" s="22"/>
      <c r="J26" s="3"/>
      <c r="K26" s="3"/>
      <c r="L26" s="11" t="s">
        <v>17</v>
      </c>
      <c r="M26" s="22"/>
      <c r="N26" s="22">
        <f t="shared" si="1"/>
        <v>156.73017296671904</v>
      </c>
      <c r="O26" s="22"/>
      <c r="P26" s="22"/>
      <c r="S26" s="11" t="s">
        <v>17</v>
      </c>
      <c r="T26" s="22"/>
      <c r="U26" s="22">
        <f t="shared" si="2"/>
        <v>256.80091914428368</v>
      </c>
      <c r="V26" s="22"/>
      <c r="W26" s="22"/>
    </row>
    <row r="27" spans="1:23" x14ac:dyDescent="0.2">
      <c r="E27" s="9" t="s">
        <v>18</v>
      </c>
      <c r="F27" s="41"/>
      <c r="G27" s="41">
        <f>SUM(G17:G26)*12</f>
        <v>7399.1312146985219</v>
      </c>
      <c r="H27" s="41"/>
      <c r="I27" s="41"/>
      <c r="J27" s="12"/>
      <c r="K27" s="12"/>
      <c r="L27" s="12"/>
      <c r="M27" s="41"/>
      <c r="N27" s="41">
        <f>SUM(N17:N26)*12</f>
        <v>18807.620756006283</v>
      </c>
      <c r="O27" s="41"/>
      <c r="P27" s="41"/>
      <c r="S27" s="12"/>
      <c r="T27" s="41"/>
      <c r="U27" s="41">
        <f>SUM(U17:U26)*12</f>
        <v>30816.110297314044</v>
      </c>
      <c r="V27" s="41"/>
      <c r="W27" s="41"/>
    </row>
    <row r="28" spans="1:23" ht="16" thickBot="1" x14ac:dyDescent="0.25">
      <c r="G28" s="13"/>
      <c r="H28" s="3"/>
      <c r="I28" s="3"/>
      <c r="J28" s="3"/>
      <c r="K28" s="3"/>
      <c r="L28" s="3"/>
      <c r="M28" s="3"/>
      <c r="N28" s="3"/>
      <c r="O28" s="3"/>
      <c r="P28" s="3"/>
      <c r="S28" s="3"/>
      <c r="T28" s="22"/>
      <c r="U28" s="22"/>
      <c r="V28" s="22"/>
      <c r="W28" s="22"/>
    </row>
    <row r="29" spans="1:23" ht="16" thickBot="1" x14ac:dyDescent="0.25">
      <c r="F29" s="17" t="s">
        <v>49</v>
      </c>
      <c r="G29" s="42">
        <f>G27-H27</f>
        <v>7399.1312146985219</v>
      </c>
      <c r="I29" s="3"/>
      <c r="J29" s="3"/>
      <c r="K29" s="3"/>
      <c r="M29" s="17" t="s">
        <v>49</v>
      </c>
      <c r="N29" s="42">
        <f>N27-O27</f>
        <v>18807.620756006283</v>
      </c>
      <c r="P29" s="3"/>
      <c r="T29" s="17" t="s">
        <v>49</v>
      </c>
      <c r="U29" s="42">
        <f>U27-V27</f>
        <v>30816.110297314044</v>
      </c>
      <c r="W29" s="22"/>
    </row>
    <row r="30" spans="1:23" x14ac:dyDescent="0.2">
      <c r="G30" s="25"/>
      <c r="H30" s="14"/>
      <c r="I30" s="14"/>
      <c r="J30" s="14"/>
      <c r="K30" s="14"/>
    </row>
    <row r="31" spans="1:23" x14ac:dyDescent="0.2">
      <c r="G31" s="3"/>
      <c r="U31" s="3"/>
    </row>
    <row r="32" spans="1:23" x14ac:dyDescent="0.2">
      <c r="U32" s="4"/>
      <c r="V32" s="2"/>
      <c r="W32" s="2"/>
    </row>
    <row r="35" spans="5:16" x14ac:dyDescent="0.2">
      <c r="F35" s="221"/>
      <c r="G35" s="221"/>
      <c r="H35" s="221"/>
      <c r="I35" s="221"/>
      <c r="M35" s="221"/>
      <c r="N35" s="221"/>
      <c r="O35" s="221"/>
      <c r="P35" s="221"/>
    </row>
    <row r="36" spans="5:16" x14ac:dyDescent="0.2">
      <c r="F36"/>
      <c r="G36" s="3"/>
      <c r="N36" s="3"/>
    </row>
    <row r="37" spans="5:16" x14ac:dyDescent="0.2">
      <c r="F37" s="46"/>
      <c r="G37" s="46"/>
      <c r="H37" s="46"/>
      <c r="I37" s="46"/>
      <c r="J37" s="3"/>
      <c r="M37" s="46"/>
      <c r="N37" s="46"/>
      <c r="O37" s="46"/>
      <c r="P37" s="46"/>
    </row>
    <row r="38" spans="5:16" x14ac:dyDescent="0.2">
      <c r="E38" s="48"/>
      <c r="F38" s="47"/>
      <c r="G38" s="47"/>
      <c r="H38" s="47"/>
      <c r="I38" s="47"/>
      <c r="J38" s="3"/>
      <c r="L38" s="36"/>
      <c r="M38" s="47"/>
      <c r="N38" s="47"/>
      <c r="O38" s="47"/>
      <c r="P38" s="47"/>
    </row>
    <row r="39" spans="5:16" x14ac:dyDescent="0.2">
      <c r="E39" s="48"/>
      <c r="F39" s="47"/>
      <c r="G39" s="47"/>
      <c r="H39" s="47"/>
      <c r="I39" s="47"/>
      <c r="J39" s="3"/>
      <c r="L39" s="36"/>
      <c r="M39" s="47"/>
      <c r="N39" s="47"/>
      <c r="O39" s="47"/>
      <c r="P39" s="47"/>
    </row>
    <row r="40" spans="5:16" x14ac:dyDescent="0.2">
      <c r="E40" s="48"/>
      <c r="F40" s="47"/>
      <c r="G40" s="47"/>
      <c r="H40" s="47"/>
      <c r="I40" s="47"/>
      <c r="L40" s="36"/>
      <c r="M40" s="47"/>
      <c r="N40" s="47"/>
      <c r="O40" s="47"/>
      <c r="P40" s="47"/>
    </row>
    <row r="41" spans="5:16" x14ac:dyDescent="0.2">
      <c r="E41" s="36"/>
      <c r="F41"/>
      <c r="G41" s="3"/>
      <c r="H41" s="3"/>
      <c r="L41" s="36"/>
      <c r="N41" s="3"/>
      <c r="O41" s="3"/>
    </row>
    <row r="42" spans="5:16" x14ac:dyDescent="0.2">
      <c r="F42"/>
      <c r="G42" s="3"/>
      <c r="N42" s="3"/>
    </row>
    <row r="43" spans="5:16" x14ac:dyDescent="0.2">
      <c r="F43"/>
      <c r="G43" s="3"/>
      <c r="N43" s="3"/>
    </row>
    <row r="44" spans="5:16" x14ac:dyDescent="0.2">
      <c r="F44" s="221"/>
      <c r="G44" s="221"/>
      <c r="H44" s="221"/>
      <c r="I44" s="221"/>
      <c r="M44" s="221"/>
      <c r="N44" s="221"/>
      <c r="O44" s="221"/>
      <c r="P44" s="221"/>
    </row>
    <row r="45" spans="5:16" x14ac:dyDescent="0.2">
      <c r="F45"/>
      <c r="G45" s="3"/>
      <c r="N45" s="3"/>
    </row>
    <row r="46" spans="5:16" x14ac:dyDescent="0.2">
      <c r="F46" s="46"/>
      <c r="G46" s="46"/>
      <c r="H46" s="46"/>
      <c r="I46" s="46"/>
      <c r="M46" s="46"/>
      <c r="N46" s="46"/>
      <c r="O46" s="46"/>
      <c r="P46" s="46"/>
    </row>
    <row r="47" spans="5:16" x14ac:dyDescent="0.2">
      <c r="E47" s="48"/>
      <c r="F47" s="47"/>
      <c r="G47" s="47"/>
      <c r="H47" s="47"/>
      <c r="I47" s="47"/>
      <c r="L47" s="36"/>
      <c r="M47" s="47"/>
      <c r="N47" s="47"/>
      <c r="O47" s="47"/>
      <c r="P47" s="47"/>
    </row>
    <row r="48" spans="5:16" x14ac:dyDescent="0.2">
      <c r="E48" s="48"/>
      <c r="F48" s="47"/>
      <c r="G48" s="47"/>
      <c r="H48" s="47"/>
      <c r="I48" s="47"/>
      <c r="L48" s="36"/>
      <c r="M48" s="47"/>
      <c r="N48" s="47"/>
      <c r="O48" s="47"/>
      <c r="P48" s="47"/>
    </row>
    <row r="49" spans="5:16" x14ac:dyDescent="0.2">
      <c r="E49" s="48"/>
      <c r="F49" s="47"/>
      <c r="G49" s="47"/>
      <c r="H49" s="47"/>
      <c r="I49" s="47"/>
      <c r="L49" s="36"/>
      <c r="M49" s="47"/>
      <c r="N49" s="47"/>
      <c r="O49" s="47"/>
      <c r="P49" s="47"/>
    </row>
    <row r="50" spans="5:16" x14ac:dyDescent="0.2">
      <c r="F50"/>
      <c r="G50" s="3"/>
    </row>
  </sheetData>
  <mergeCells count="8">
    <mergeCell ref="F3:I3"/>
    <mergeCell ref="M3:P3"/>
    <mergeCell ref="T3:W3"/>
    <mergeCell ref="B9:C9"/>
    <mergeCell ref="F35:I35"/>
    <mergeCell ref="M35:P35"/>
    <mergeCell ref="F44:I44"/>
    <mergeCell ref="M44:P44"/>
  </mergeCells>
  <conditionalFormatting sqref="G29 I29:K29 N29 P29">
    <cfRule type="cellIs" dxfId="12" priority="5" operator="lessThan">
      <formula>0</formula>
    </cfRule>
    <cfRule type="cellIs" dxfId="11" priority="6" operator="greaterThan">
      <formula>0</formula>
    </cfRule>
  </conditionalFormatting>
  <conditionalFormatting sqref="I17:K26">
    <cfRule type="cellIs" dxfId="10" priority="7" operator="equal">
      <formula>6500</formula>
    </cfRule>
  </conditionalFormatting>
  <conditionalFormatting sqref="P17:P26">
    <cfRule type="cellIs" dxfId="9" priority="4" operator="equal">
      <formula>6500</formula>
    </cfRule>
  </conditionalFormatting>
  <conditionalFormatting sqref="Q13:R22">
    <cfRule type="cellIs" dxfId="8" priority="9" operator="equal">
      <formula>6500</formula>
    </cfRule>
  </conditionalFormatting>
  <conditionalFormatting sqref="Q25:R25">
    <cfRule type="cellIs" dxfId="7" priority="13" operator="lessThan">
      <formula>0</formula>
    </cfRule>
    <cfRule type="cellIs" dxfId="6" priority="14" operator="greaterThan">
      <formula>0</formula>
    </cfRule>
  </conditionalFormatting>
  <conditionalFormatting sqref="U29">
    <cfRule type="cellIs" dxfId="5" priority="2" operator="lessThan">
      <formula>0</formula>
    </cfRule>
    <cfRule type="cellIs" dxfId="4" priority="3" operator="greaterThan">
      <formula>0</formula>
    </cfRule>
  </conditionalFormatting>
  <conditionalFormatting sqref="W17:W26">
    <cfRule type="cellIs" dxfId="3" priority="1" operator="equal">
      <formula>6500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8E3DA-77CF-7443-9349-805BC3CABFEA}">
  <dimension ref="B3:Z36"/>
  <sheetViews>
    <sheetView showGridLines="0" zoomScale="107" workbookViewId="0">
      <selection activeCell="C11" sqref="C11"/>
    </sheetView>
  </sheetViews>
  <sheetFormatPr baseColWidth="10" defaultRowHeight="15" x14ac:dyDescent="0.2"/>
  <cols>
    <col min="2" max="2" width="28.83203125" customWidth="1"/>
    <col min="4" max="4" width="11.83203125" customWidth="1"/>
    <col min="5" max="5" width="13.33203125" customWidth="1"/>
    <col min="6" max="6" width="11.83203125" customWidth="1"/>
    <col min="7" max="7" width="16.1640625" customWidth="1"/>
    <col min="8" max="8" width="11.83203125" customWidth="1"/>
    <col min="9" max="9" width="13.1640625" customWidth="1"/>
    <col min="10" max="10" width="11.83203125" customWidth="1"/>
    <col min="11" max="11" width="13.6640625" customWidth="1"/>
    <col min="12" max="12" width="11.83203125" customWidth="1"/>
    <col min="13" max="13" width="13.33203125" customWidth="1"/>
    <col min="14" max="14" width="11.83203125" customWidth="1"/>
    <col min="15" max="15" width="14" customWidth="1"/>
    <col min="16" max="16" width="11.83203125" customWidth="1"/>
    <col min="17" max="17" width="13.33203125" customWidth="1"/>
    <col min="18" max="18" width="11.83203125" customWidth="1"/>
    <col min="19" max="19" width="13.83203125" customWidth="1"/>
    <col min="20" max="20" width="11.83203125" customWidth="1"/>
    <col min="21" max="21" width="13.33203125" customWidth="1"/>
    <col min="22" max="22" width="11.83203125" customWidth="1"/>
    <col min="23" max="23" width="14.1640625" customWidth="1"/>
  </cols>
  <sheetData>
    <row r="3" spans="2:26" ht="20" thickBot="1" x14ac:dyDescent="0.3">
      <c r="B3" s="199" t="s">
        <v>30</v>
      </c>
      <c r="C3" s="199"/>
      <c r="E3" s="198" t="s">
        <v>105</v>
      </c>
      <c r="F3" s="198"/>
      <c r="G3" s="198"/>
    </row>
    <row r="4" spans="2:26" ht="17" thickBot="1" x14ac:dyDescent="0.25">
      <c r="B4" s="202" t="s">
        <v>28</v>
      </c>
      <c r="C4" s="203"/>
      <c r="E4" s="30"/>
      <c r="F4" s="143" t="s">
        <v>31</v>
      </c>
      <c r="G4" s="144" t="s">
        <v>5</v>
      </c>
    </row>
    <row r="5" spans="2:26" x14ac:dyDescent="0.2">
      <c r="B5" s="15" t="s">
        <v>81</v>
      </c>
      <c r="C5" s="43">
        <v>1500</v>
      </c>
      <c r="E5" s="50" t="s">
        <v>0</v>
      </c>
      <c r="F5" s="57">
        <v>25000</v>
      </c>
      <c r="G5" s="58">
        <v>35</v>
      </c>
    </row>
    <row r="6" spans="2:26" x14ac:dyDescent="0.2">
      <c r="B6" s="15" t="s">
        <v>79</v>
      </c>
      <c r="C6" s="44">
        <v>2500</v>
      </c>
      <c r="E6" s="51" t="s">
        <v>1</v>
      </c>
      <c r="F6" s="59">
        <v>50000</v>
      </c>
      <c r="G6" s="60">
        <v>55</v>
      </c>
    </row>
    <row r="7" spans="2:26" ht="16" thickBot="1" x14ac:dyDescent="0.25">
      <c r="B7" s="16" t="s">
        <v>80</v>
      </c>
      <c r="C7" s="45">
        <v>0</v>
      </c>
      <c r="E7" s="52" t="s">
        <v>2</v>
      </c>
      <c r="F7" s="61">
        <v>75000</v>
      </c>
      <c r="G7" s="62">
        <v>70</v>
      </c>
    </row>
    <row r="8" spans="2:26" ht="16" thickBot="1" x14ac:dyDescent="0.25"/>
    <row r="9" spans="2:26" ht="17" thickBot="1" x14ac:dyDescent="0.25">
      <c r="B9" s="202" t="s">
        <v>141</v>
      </c>
      <c r="C9" s="203"/>
    </row>
    <row r="10" spans="2:26" ht="16" thickBot="1" x14ac:dyDescent="0.25">
      <c r="B10" s="123" t="s">
        <v>116</v>
      </c>
      <c r="C10" s="43">
        <v>0</v>
      </c>
    </row>
    <row r="11" spans="2:26" ht="16" thickBot="1" x14ac:dyDescent="0.25">
      <c r="B11" s="30" t="s">
        <v>117</v>
      </c>
      <c r="C11" s="127">
        <v>1.3</v>
      </c>
    </row>
    <row r="12" spans="2:26" ht="20" thickBot="1" x14ac:dyDescent="0.3">
      <c r="E12" s="197" t="s">
        <v>111</v>
      </c>
      <c r="F12" s="197"/>
      <c r="G12" s="197"/>
    </row>
    <row r="13" spans="2:26" ht="18" thickTop="1" thickBot="1" x14ac:dyDescent="0.25">
      <c r="B13" s="200" t="s">
        <v>19</v>
      </c>
      <c r="C13" s="201"/>
      <c r="E13" s="154"/>
      <c r="F13" s="155"/>
      <c r="G13" s="155"/>
      <c r="H13" s="155"/>
      <c r="I13" s="155"/>
      <c r="J13" s="155"/>
      <c r="K13" s="155"/>
      <c r="L13" s="155"/>
      <c r="M13" s="155"/>
      <c r="N13" s="155"/>
      <c r="O13" s="155"/>
      <c r="P13" s="155"/>
      <c r="Q13" s="155"/>
      <c r="R13" s="155"/>
      <c r="S13" s="155"/>
      <c r="T13" s="155"/>
      <c r="U13" s="155"/>
      <c r="V13" s="155"/>
      <c r="W13" s="155"/>
      <c r="X13" s="155"/>
      <c r="Y13" s="155"/>
      <c r="Z13" s="156"/>
    </row>
    <row r="14" spans="2:26" x14ac:dyDescent="0.2">
      <c r="B14" s="87" t="s">
        <v>67</v>
      </c>
      <c r="C14" s="90">
        <v>1</v>
      </c>
      <c r="E14" s="157"/>
      <c r="F14" s="158"/>
      <c r="G14" s="158"/>
      <c r="H14" s="158"/>
      <c r="I14" s="158"/>
      <c r="J14" s="158"/>
      <c r="K14" s="158"/>
      <c r="L14" s="158"/>
      <c r="M14" s="158"/>
      <c r="N14" s="158"/>
      <c r="O14" s="158"/>
      <c r="P14" s="158"/>
      <c r="Q14" s="158"/>
      <c r="R14" s="158"/>
      <c r="S14" s="158"/>
      <c r="T14" s="158"/>
      <c r="U14" s="158"/>
      <c r="V14" s="158"/>
      <c r="W14" s="158"/>
      <c r="X14" s="158"/>
      <c r="Y14" s="158"/>
      <c r="Z14" s="159"/>
    </row>
    <row r="15" spans="2:26" ht="16" thickBot="1" x14ac:dyDescent="0.25">
      <c r="B15" s="88" t="s">
        <v>68</v>
      </c>
      <c r="C15" s="91">
        <v>3.6999999999999998E-2</v>
      </c>
      <c r="E15" s="157"/>
      <c r="F15" s="158"/>
      <c r="G15" s="158"/>
      <c r="H15" s="158"/>
      <c r="I15" s="158"/>
      <c r="J15" s="158"/>
      <c r="K15" s="158"/>
      <c r="L15" s="158"/>
      <c r="M15" s="158"/>
      <c r="N15" s="158"/>
      <c r="O15" s="158"/>
      <c r="P15" s="158"/>
      <c r="Q15" s="158"/>
      <c r="R15" s="158"/>
      <c r="S15" s="158"/>
      <c r="T15" s="158"/>
      <c r="U15" s="158"/>
      <c r="V15" s="158"/>
      <c r="W15" s="158"/>
      <c r="X15" s="158"/>
      <c r="Y15" s="158"/>
      <c r="Z15" s="159"/>
    </row>
    <row r="16" spans="2:26" ht="20" thickBot="1" x14ac:dyDescent="0.25">
      <c r="B16" s="89" t="s">
        <v>74</v>
      </c>
      <c r="C16" s="109">
        <v>30</v>
      </c>
      <c r="E16" s="157"/>
      <c r="F16" s="158"/>
      <c r="G16" s="183" t="s">
        <v>112</v>
      </c>
      <c r="H16" s="184"/>
      <c r="I16" s="184"/>
      <c r="J16" s="184"/>
      <c r="K16" s="184"/>
      <c r="L16" s="184"/>
      <c r="M16" s="184"/>
      <c r="N16" s="184"/>
      <c r="O16" s="184"/>
      <c r="P16" s="184"/>
      <c r="Q16" s="184"/>
      <c r="R16" s="184"/>
      <c r="S16" s="184"/>
      <c r="T16" s="184"/>
      <c r="U16" s="184"/>
      <c r="V16" s="184"/>
      <c r="W16" s="184"/>
      <c r="X16" s="184"/>
      <c r="Y16" s="185"/>
      <c r="Z16" s="159"/>
    </row>
    <row r="17" spans="2:26" ht="16" thickBot="1" x14ac:dyDescent="0.25">
      <c r="B17" s="88" t="s">
        <v>106</v>
      </c>
      <c r="C17" s="91">
        <v>0</v>
      </c>
      <c r="E17" s="157"/>
      <c r="F17" s="158"/>
      <c r="G17" s="158"/>
      <c r="H17" s="158"/>
      <c r="I17" s="158"/>
      <c r="J17" s="158"/>
      <c r="K17" s="158"/>
      <c r="L17" s="158"/>
      <c r="M17" s="158"/>
      <c r="N17" s="158"/>
      <c r="O17" s="158"/>
      <c r="P17" s="158"/>
      <c r="Q17" s="158"/>
      <c r="R17" s="158"/>
      <c r="S17" s="158"/>
      <c r="T17" s="158"/>
      <c r="U17" s="158"/>
      <c r="V17" s="158"/>
      <c r="W17" s="158"/>
      <c r="X17" s="158"/>
      <c r="Y17" s="158"/>
      <c r="Z17" s="159"/>
    </row>
    <row r="18" spans="2:26" ht="16" thickBot="1" x14ac:dyDescent="0.25">
      <c r="B18" s="88" t="s">
        <v>107</v>
      </c>
      <c r="C18" s="92">
        <v>0</v>
      </c>
      <c r="E18" s="157"/>
      <c r="F18" s="158"/>
      <c r="G18" s="186" t="s">
        <v>137</v>
      </c>
      <c r="H18" s="187"/>
      <c r="I18" s="188"/>
      <c r="J18" s="160"/>
      <c r="K18" s="186" t="s">
        <v>90</v>
      </c>
      <c r="L18" s="187"/>
      <c r="M18" s="188"/>
      <c r="N18" s="160"/>
      <c r="O18" s="191" t="s">
        <v>89</v>
      </c>
      <c r="P18" s="190"/>
      <c r="Q18" s="188"/>
      <c r="R18" s="160"/>
      <c r="S18" s="191" t="s">
        <v>59</v>
      </c>
      <c r="T18" s="190"/>
      <c r="U18" s="188"/>
      <c r="V18" s="160"/>
      <c r="W18" s="192" t="str">
        <f>Input!$C$11*100&amp;"% (Isolatiesubsidie + Ledenlening)"</f>
        <v>130% (Isolatiesubsidie + Ledenlening)</v>
      </c>
      <c r="X18" s="193"/>
      <c r="Y18" s="194"/>
      <c r="Z18" s="159"/>
    </row>
    <row r="19" spans="2:26" ht="16" thickBot="1" x14ac:dyDescent="0.25">
      <c r="B19" s="89" t="s">
        <v>108</v>
      </c>
      <c r="C19" s="109">
        <v>0</v>
      </c>
      <c r="E19" s="157"/>
      <c r="F19" s="158"/>
      <c r="G19" s="161" t="s">
        <v>49</v>
      </c>
      <c r="H19" s="162" t="s">
        <v>96</v>
      </c>
      <c r="I19" s="162" t="s">
        <v>48</v>
      </c>
      <c r="J19" s="163"/>
      <c r="K19" s="164" t="s">
        <v>49</v>
      </c>
      <c r="L19" s="165" t="s">
        <v>96</v>
      </c>
      <c r="M19" s="165" t="s">
        <v>48</v>
      </c>
      <c r="N19" s="163"/>
      <c r="O19" s="166" t="s">
        <v>49</v>
      </c>
      <c r="P19" s="167" t="s">
        <v>96</v>
      </c>
      <c r="Q19" s="167" t="s">
        <v>48</v>
      </c>
      <c r="R19" s="163"/>
      <c r="S19" s="168" t="s">
        <v>49</v>
      </c>
      <c r="T19" s="164" t="s">
        <v>96</v>
      </c>
      <c r="U19" s="169" t="s">
        <v>48</v>
      </c>
      <c r="V19" s="170"/>
      <c r="W19" s="166" t="s">
        <v>49</v>
      </c>
      <c r="X19" s="164" t="s">
        <v>96</v>
      </c>
      <c r="Y19" s="167" t="s">
        <v>48</v>
      </c>
      <c r="Z19" s="159"/>
    </row>
    <row r="20" spans="2:26" x14ac:dyDescent="0.2">
      <c r="B20" t="s">
        <v>109</v>
      </c>
      <c r="E20" s="157"/>
      <c r="F20" s="171">
        <f>'Output - grote VvE''s'!B11</f>
        <v>25000</v>
      </c>
      <c r="G20" s="171">
        <f>'Output - grote VvE''s'!C11</f>
        <v>2003.6611737324231</v>
      </c>
      <c r="H20" s="171">
        <f>'Output - grote VvE''s'!D11</f>
        <v>2003.6611737324231</v>
      </c>
      <c r="I20" s="172" t="str">
        <f>'Output - grote VvE''s'!E11</f>
        <v>jaar 5</v>
      </c>
      <c r="J20" s="158"/>
      <c r="K20" s="171">
        <f>'Output - grote VvE''s'!G11</f>
        <v>2003.6611737324231</v>
      </c>
      <c r="L20" s="171">
        <f>'Output - grote VvE''s'!H11</f>
        <v>2003.6611737324231</v>
      </c>
      <c r="M20" s="172" t="str">
        <f>'Output - grote VvE''s'!I11</f>
        <v>jaar 5</v>
      </c>
      <c r="N20" s="158"/>
      <c r="O20" s="171">
        <f>'Output - grote VvE''s'!K11</f>
        <v>2003.6611737324231</v>
      </c>
      <c r="P20" s="171">
        <f>'Output - grote VvE''s'!L11</f>
        <v>0</v>
      </c>
      <c r="Q20" s="172" t="str">
        <f>'Output - grote VvE''s'!M11</f>
        <v>Voldoende</v>
      </c>
      <c r="R20" s="158"/>
      <c r="S20" s="171">
        <f>'Output - grote VvE''s'!O11</f>
        <v>7399.1312146985219</v>
      </c>
      <c r="T20" s="171">
        <f>'Output - grote VvE''s'!P11</f>
        <v>0</v>
      </c>
      <c r="U20" s="172" t="str">
        <f>'Output - grote VvE''s'!Q11</f>
        <v>Voldoende</v>
      </c>
      <c r="V20" s="158"/>
      <c r="W20" s="171">
        <f>'Output - grote VvE''s'!S11</f>
        <v>2003.6611737324231</v>
      </c>
      <c r="X20" s="171">
        <f>'Output - grote VvE''s'!T11</f>
        <v>310.41630649874605</v>
      </c>
      <c r="Y20" s="172" t="str">
        <f>'Output - grote VvE''s'!U11</f>
        <v>jaar 9</v>
      </c>
      <c r="Z20" s="159"/>
    </row>
    <row r="21" spans="2:26" ht="16" thickBot="1" x14ac:dyDescent="0.25">
      <c r="E21" s="157"/>
      <c r="F21" s="173">
        <f>'Output - grote VvE''s'!B12</f>
        <v>50000</v>
      </c>
      <c r="G21" s="173">
        <f>'Output - grote VvE''s'!C12</f>
        <v>8907.620756006283</v>
      </c>
      <c r="H21" s="173">
        <f>'Output - grote VvE''s'!D12</f>
        <v>8907.620756006283</v>
      </c>
      <c r="I21" s="174" t="str">
        <f>'Output - grote VvE''s'!E12</f>
        <v>jaar 1</v>
      </c>
      <c r="J21" s="158"/>
      <c r="K21" s="173">
        <f>'Output - grote VvE''s'!G12</f>
        <v>8907.620756006283</v>
      </c>
      <c r="L21" s="173">
        <f>'Output - grote VvE''s'!H12</f>
        <v>8907.620756006283</v>
      </c>
      <c r="M21" s="174" t="str">
        <f>'Output - grote VvE''s'!I12</f>
        <v>jaar 1</v>
      </c>
      <c r="N21" s="158"/>
      <c r="O21" s="173">
        <f>'Output - grote VvE''s'!K12</f>
        <v>8907.620756006283</v>
      </c>
      <c r="P21" s="173">
        <f>'Output - grote VvE''s'!L12</f>
        <v>0</v>
      </c>
      <c r="Q21" s="174" t="str">
        <f>'Output - grote VvE''s'!M12</f>
        <v>Voldoende</v>
      </c>
      <c r="R21" s="158"/>
      <c r="S21" s="173">
        <f>'Output - grote VvE''s'!O12</f>
        <v>18807.620756006283</v>
      </c>
      <c r="T21" s="173">
        <f>'Output - grote VvE''s'!P12</f>
        <v>0</v>
      </c>
      <c r="U21" s="174" t="str">
        <f>'Output - grote VvE''s'!Q12</f>
        <v>Voldoende</v>
      </c>
      <c r="V21" s="158"/>
      <c r="W21" s="173">
        <f>'Output - grote VvE''s'!S12</f>
        <v>8907.620756006283</v>
      </c>
      <c r="X21" s="173">
        <f>'Output - grote VvE''s'!T12</f>
        <v>5280.3526048050171</v>
      </c>
      <c r="Y21" s="174" t="str">
        <f>'Output - grote VvE''s'!U12</f>
        <v>jaar 3</v>
      </c>
      <c r="Z21" s="159"/>
    </row>
    <row r="22" spans="2:26" ht="17" thickBot="1" x14ac:dyDescent="0.25">
      <c r="B22" s="195" t="s">
        <v>102</v>
      </c>
      <c r="C22" s="196"/>
      <c r="E22" s="157"/>
      <c r="F22" s="175">
        <f>'Output - grote VvE''s'!B13</f>
        <v>75000</v>
      </c>
      <c r="G22" s="175">
        <f>'Output - grote VvE''s'!C13</f>
        <v>20916.110297314037</v>
      </c>
      <c r="H22" s="175">
        <f>'Output - grote VvE''s'!D13</f>
        <v>20916.110297314037</v>
      </c>
      <c r="I22" s="176" t="str">
        <f>'Output - grote VvE''s'!E13</f>
        <v>jaar 1</v>
      </c>
      <c r="J22" s="158"/>
      <c r="K22" s="175">
        <f>'Output - grote VvE''s'!G13</f>
        <v>20916.110297314037</v>
      </c>
      <c r="L22" s="175">
        <f>'Output - grote VvE''s'!H13</f>
        <v>20916.110297314037</v>
      </c>
      <c r="M22" s="176" t="str">
        <f>'Output - grote VvE''s'!I13</f>
        <v>jaar 1</v>
      </c>
      <c r="N22" s="158"/>
      <c r="O22" s="175">
        <f>'Output - grote VvE''s'!K13</f>
        <v>20916.110297314037</v>
      </c>
      <c r="P22" s="175">
        <f>'Output - grote VvE''s'!L13</f>
        <v>2440.1051486570104</v>
      </c>
      <c r="Q22" s="176" t="str">
        <f>'Output - grote VvE''s'!M13</f>
        <v>jaar 6</v>
      </c>
      <c r="R22" s="158"/>
      <c r="S22" s="175">
        <f>'Output - grote VvE''s'!O13</f>
        <v>30816.110297314044</v>
      </c>
      <c r="T22" s="175">
        <f>'Output - grote VvE''s'!P13</f>
        <v>0</v>
      </c>
      <c r="U22" s="176" t="str">
        <f>'Output - grote VvE''s'!Q13</f>
        <v>Voldoende</v>
      </c>
      <c r="V22" s="158"/>
      <c r="W22" s="175">
        <f>'Output - grote VvE''s'!S13</f>
        <v>20916.110297314037</v>
      </c>
      <c r="X22" s="175">
        <f>'Output - grote VvE''s'!T13</f>
        <v>16808.930297314026</v>
      </c>
      <c r="Y22" s="176" t="str">
        <f>'Output - grote VvE''s'!U13</f>
        <v>jaar 1</v>
      </c>
      <c r="Z22" s="159"/>
    </row>
    <row r="23" spans="2:26" ht="16" thickBot="1" x14ac:dyDescent="0.25">
      <c r="B23" s="146" t="s">
        <v>103</v>
      </c>
      <c r="C23" s="182">
        <v>9900</v>
      </c>
      <c r="E23" s="157"/>
      <c r="F23" s="158"/>
      <c r="G23" s="158"/>
      <c r="H23" s="158"/>
      <c r="I23" s="158"/>
      <c r="J23" s="158"/>
      <c r="K23" s="158"/>
      <c r="L23" s="158"/>
      <c r="M23" s="158"/>
      <c r="N23" s="158"/>
      <c r="O23" s="158"/>
      <c r="P23" s="158"/>
      <c r="Q23" s="158"/>
      <c r="R23" s="158"/>
      <c r="S23" s="158"/>
      <c r="T23" s="158"/>
      <c r="U23" s="158"/>
      <c r="V23" s="158"/>
      <c r="W23" s="158"/>
      <c r="X23" s="158"/>
      <c r="Y23" s="158"/>
      <c r="Z23" s="159"/>
    </row>
    <row r="24" spans="2:26" x14ac:dyDescent="0.2">
      <c r="E24" s="157"/>
      <c r="F24" s="158"/>
      <c r="G24" s="158"/>
      <c r="H24" s="158"/>
      <c r="I24" s="158"/>
      <c r="J24" s="158"/>
      <c r="K24" s="158"/>
      <c r="L24" s="158"/>
      <c r="M24" s="158"/>
      <c r="N24" s="158"/>
      <c r="O24" s="158"/>
      <c r="P24" s="158"/>
      <c r="Q24" s="158"/>
      <c r="R24" s="158"/>
      <c r="S24" s="158"/>
      <c r="T24" s="158"/>
      <c r="U24" s="158"/>
      <c r="V24" s="158"/>
      <c r="W24" s="158"/>
      <c r="X24" s="158"/>
      <c r="Y24" s="158"/>
      <c r="Z24" s="159"/>
    </row>
    <row r="25" spans="2:26" ht="16" thickBot="1" x14ac:dyDescent="0.25">
      <c r="E25" s="157"/>
      <c r="F25" s="158"/>
      <c r="G25" s="158"/>
      <c r="H25" s="158"/>
      <c r="I25" s="158"/>
      <c r="J25" s="158"/>
      <c r="K25" s="158"/>
      <c r="L25" s="158"/>
      <c r="M25" s="158"/>
      <c r="N25" s="158"/>
      <c r="O25" s="158"/>
      <c r="P25" s="158"/>
      <c r="Q25" s="158"/>
      <c r="R25" s="158"/>
      <c r="S25" s="158"/>
      <c r="T25" s="158"/>
      <c r="U25" s="158"/>
      <c r="V25" s="158"/>
      <c r="W25" s="158"/>
      <c r="X25" s="158"/>
      <c r="Y25" s="158"/>
      <c r="Z25" s="159"/>
    </row>
    <row r="26" spans="2:26" ht="20" thickBot="1" x14ac:dyDescent="0.25">
      <c r="E26" s="157"/>
      <c r="F26" s="158"/>
      <c r="G26" s="183" t="s">
        <v>113</v>
      </c>
      <c r="H26" s="184"/>
      <c r="I26" s="184"/>
      <c r="J26" s="184"/>
      <c r="K26" s="184"/>
      <c r="L26" s="184"/>
      <c r="M26" s="184"/>
      <c r="N26" s="184"/>
      <c r="O26" s="184"/>
      <c r="P26" s="184"/>
      <c r="Q26" s="184"/>
      <c r="R26" s="184"/>
      <c r="S26" s="184"/>
      <c r="T26" s="184"/>
      <c r="U26" s="184"/>
      <c r="V26" s="184"/>
      <c r="W26" s="184"/>
      <c r="X26" s="184"/>
      <c r="Y26" s="185"/>
      <c r="Z26" s="159"/>
    </row>
    <row r="27" spans="2:26" ht="16" thickBot="1" x14ac:dyDescent="0.25">
      <c r="E27" s="157"/>
      <c r="F27" s="158"/>
      <c r="G27" s="158"/>
      <c r="H27" s="158"/>
      <c r="I27" s="158"/>
      <c r="J27" s="158"/>
      <c r="K27" s="158"/>
      <c r="L27" s="158"/>
      <c r="M27" s="158"/>
      <c r="N27" s="158"/>
      <c r="O27" s="158"/>
      <c r="P27" s="158"/>
      <c r="Q27" s="158"/>
      <c r="R27" s="158"/>
      <c r="S27" s="158"/>
      <c r="T27" s="158"/>
      <c r="U27" s="158"/>
      <c r="V27" s="158"/>
      <c r="W27" s="158"/>
      <c r="X27" s="158"/>
      <c r="Y27" s="158"/>
      <c r="Z27" s="159"/>
    </row>
    <row r="28" spans="2:26" ht="16" thickBot="1" x14ac:dyDescent="0.25">
      <c r="E28" s="157"/>
      <c r="F28" s="158"/>
      <c r="G28" s="186" t="s">
        <v>136</v>
      </c>
      <c r="H28" s="187"/>
      <c r="I28" s="188"/>
      <c r="J28" s="160"/>
      <c r="K28" s="186" t="s">
        <v>100</v>
      </c>
      <c r="L28" s="187"/>
      <c r="M28" s="188"/>
      <c r="N28" s="160"/>
      <c r="O28" s="189" t="s">
        <v>101</v>
      </c>
      <c r="P28" s="190"/>
      <c r="Q28" s="188"/>
      <c r="R28" s="160"/>
      <c r="S28" s="191" t="s">
        <v>59</v>
      </c>
      <c r="T28" s="190"/>
      <c r="U28" s="188"/>
      <c r="V28" s="160"/>
      <c r="W28" s="192" t="str">
        <f>Input!$C$11*100&amp;"% (Isolatiesubsidie)"</f>
        <v>130% (Isolatiesubsidie)</v>
      </c>
      <c r="X28" s="193"/>
      <c r="Y28" s="194"/>
      <c r="Z28" s="159"/>
    </row>
    <row r="29" spans="2:26" ht="16" thickBot="1" x14ac:dyDescent="0.25">
      <c r="E29" s="157"/>
      <c r="F29" s="158"/>
      <c r="G29" s="161" t="s">
        <v>49</v>
      </c>
      <c r="H29" s="162" t="s">
        <v>96</v>
      </c>
      <c r="I29" s="162" t="s">
        <v>48</v>
      </c>
      <c r="J29" s="163"/>
      <c r="K29" s="164" t="s">
        <v>49</v>
      </c>
      <c r="L29" s="165" t="s">
        <v>96</v>
      </c>
      <c r="M29" s="165" t="s">
        <v>48</v>
      </c>
      <c r="N29" s="163"/>
      <c r="O29" s="166" t="s">
        <v>49</v>
      </c>
      <c r="P29" s="167" t="s">
        <v>96</v>
      </c>
      <c r="Q29" s="167" t="s">
        <v>48</v>
      </c>
      <c r="R29" s="163"/>
      <c r="S29" s="168" t="s">
        <v>49</v>
      </c>
      <c r="T29" s="164" t="s">
        <v>96</v>
      </c>
      <c r="U29" s="169" t="s">
        <v>48</v>
      </c>
      <c r="V29" s="170"/>
      <c r="W29" s="166" t="s">
        <v>49</v>
      </c>
      <c r="X29" s="164" t="s">
        <v>96</v>
      </c>
      <c r="Y29" s="177" t="s">
        <v>48</v>
      </c>
      <c r="Z29" s="159"/>
    </row>
    <row r="30" spans="2:26" x14ac:dyDescent="0.2">
      <c r="E30" s="157"/>
      <c r="F30" s="171">
        <f>'Output - kleine VvE''s'!B11</f>
        <v>25000</v>
      </c>
      <c r="G30" s="171">
        <f>'Output - kleine VvE''s'!C11</f>
        <v>7399.1312146985219</v>
      </c>
      <c r="H30" s="171">
        <f>'Output - kleine VvE''s'!D11</f>
        <v>7399.1312146985219</v>
      </c>
      <c r="I30" s="172" t="str">
        <f>'Output - kleine VvE''s'!E11</f>
        <v>jaar 1</v>
      </c>
      <c r="J30" s="158"/>
      <c r="K30" s="171">
        <f>'Output - kleine VvE''s'!G11</f>
        <v>7399.1312146985219</v>
      </c>
      <c r="L30" s="171">
        <f>'Output - kleine VvE''s'!H11</f>
        <v>7399.1312146985219</v>
      </c>
      <c r="M30" s="172" t="str">
        <f>'Output - kleine VvE''s'!I11</f>
        <v>Onvoldoende</v>
      </c>
      <c r="N30" s="158"/>
      <c r="O30" s="171">
        <f>'Output - kleine VvE''s'!K11</f>
        <v>7399.1312146985219</v>
      </c>
      <c r="P30" s="171">
        <f>'Output - kleine VvE''s'!L11</f>
        <v>0</v>
      </c>
      <c r="Q30" s="172" t="str">
        <f>'Output - kleine VvE''s'!M11</f>
        <v>Voldoende</v>
      </c>
      <c r="R30" s="158"/>
      <c r="S30" s="171">
        <f>'Output - kleine VvE''s'!O11</f>
        <v>7399.1312146985219</v>
      </c>
      <c r="T30" s="171">
        <f>'Output - kleine VvE''s'!P11</f>
        <v>0</v>
      </c>
      <c r="U30" s="172" t="str">
        <f>'Output - kleine VvE''s'!Q11</f>
        <v>Voldoende</v>
      </c>
      <c r="V30" s="158"/>
      <c r="W30" s="171">
        <f>'Output - kleine VvE''s'!S11</f>
        <v>7399.1312146985219</v>
      </c>
      <c r="X30" s="171">
        <f>'Output - kleine VvE''s'!T11</f>
        <v>3291.9512146985098</v>
      </c>
      <c r="Y30" s="172" t="str">
        <f>'Output - kleine VvE''s'!U11</f>
        <v>jaar 1</v>
      </c>
      <c r="Z30" s="159"/>
    </row>
    <row r="31" spans="2:26" x14ac:dyDescent="0.2">
      <c r="E31" s="157"/>
      <c r="F31" s="173">
        <f>'Output - kleine VvE''s'!B12</f>
        <v>50000</v>
      </c>
      <c r="G31" s="173">
        <f>'Output - kleine VvE''s'!C12</f>
        <v>18807.620756006283</v>
      </c>
      <c r="H31" s="173">
        <f>'Output - kleine VvE''s'!D12</f>
        <v>18807.620756006283</v>
      </c>
      <c r="I31" s="174" t="str">
        <f>'Output - kleine VvE''s'!E12</f>
        <v>jaar 1</v>
      </c>
      <c r="J31" s="158"/>
      <c r="K31" s="173">
        <f>'Output - kleine VvE''s'!G12</f>
        <v>18807.620756006283</v>
      </c>
      <c r="L31" s="173">
        <f>'Output - kleine VvE''s'!H12</f>
        <v>18807.620756006283</v>
      </c>
      <c r="M31" s="174" t="str">
        <f>'Output - kleine VvE''s'!I12</f>
        <v>Onvoldoende</v>
      </c>
      <c r="N31" s="158"/>
      <c r="O31" s="173">
        <f>'Output - kleine VvE''s'!K12</f>
        <v>18807.620756006283</v>
      </c>
      <c r="P31" s="173">
        <f>'Output - kleine VvE''s'!L12</f>
        <v>0</v>
      </c>
      <c r="Q31" s="174" t="str">
        <f>'Output - kleine VvE''s'!M12</f>
        <v>Voldoende</v>
      </c>
      <c r="R31" s="158"/>
      <c r="S31" s="173">
        <f>'Output - kleine VvE''s'!O12</f>
        <v>18807.620756006283</v>
      </c>
      <c r="T31" s="173">
        <f>'Output - kleine VvE''s'!P12</f>
        <v>0</v>
      </c>
      <c r="U31" s="174" t="str">
        <f>'Output - kleine VvE''s'!Q12</f>
        <v>Voldoende</v>
      </c>
      <c r="V31" s="158"/>
      <c r="W31" s="173">
        <f>'Output - kleine VvE''s'!S12</f>
        <v>18807.620756006283</v>
      </c>
      <c r="X31" s="173">
        <f>'Output - kleine VvE''s'!T12</f>
        <v>14700.440756006272</v>
      </c>
      <c r="Y31" s="174" t="str">
        <f>'Output - kleine VvE''s'!U12</f>
        <v>jaar 1</v>
      </c>
      <c r="Z31" s="159"/>
    </row>
    <row r="32" spans="2:26" ht="16" thickBot="1" x14ac:dyDescent="0.25">
      <c r="E32" s="157"/>
      <c r="F32" s="175">
        <f>'Output - kleine VvE''s'!B13</f>
        <v>75000</v>
      </c>
      <c r="G32" s="175">
        <f>'Output - kleine VvE''s'!C13</f>
        <v>30816.110297314044</v>
      </c>
      <c r="H32" s="175">
        <f>'Output - kleine VvE''s'!D13</f>
        <v>30816.110297314044</v>
      </c>
      <c r="I32" s="176" t="str">
        <f>'Output - kleine VvE''s'!E13</f>
        <v>jaar 1</v>
      </c>
      <c r="J32" s="158"/>
      <c r="K32" s="175">
        <f>'Output - kleine VvE''s'!G13</f>
        <v>30816.110297314044</v>
      </c>
      <c r="L32" s="175">
        <f>'Output - kleine VvE''s'!H13</f>
        <v>30816.110297314044</v>
      </c>
      <c r="M32" s="176" t="str">
        <f>'Output - kleine VvE''s'!I13</f>
        <v>Onvoldoende</v>
      </c>
      <c r="N32" s="158"/>
      <c r="O32" s="175">
        <f>'Output - kleine VvE''s'!K13</f>
        <v>30816.110297314044</v>
      </c>
      <c r="P32" s="175">
        <f>'Output - kleine VvE''s'!L13</f>
        <v>10280.210297314025</v>
      </c>
      <c r="Q32" s="176" t="str">
        <f>'Output - kleine VvE''s'!M13</f>
        <v>Onvoldoende</v>
      </c>
      <c r="R32" s="158"/>
      <c r="S32" s="175">
        <f>'Output - kleine VvE''s'!O13</f>
        <v>30816.110297314044</v>
      </c>
      <c r="T32" s="175">
        <f>'Output - kleine VvE''s'!P13</f>
        <v>0</v>
      </c>
      <c r="U32" s="176" t="str">
        <f>'Output - kleine VvE''s'!Q13</f>
        <v>Voldoende</v>
      </c>
      <c r="V32" s="158"/>
      <c r="W32" s="175">
        <f>'Output - kleine VvE''s'!S13</f>
        <v>30816.110297314044</v>
      </c>
      <c r="X32" s="175">
        <f>'Output - kleine VvE''s'!T13</f>
        <v>26708.930297314033</v>
      </c>
      <c r="Y32" s="176" t="str">
        <f>'Output - kleine VvE''s'!U13</f>
        <v>jaar 1</v>
      </c>
      <c r="Z32" s="159"/>
    </row>
    <row r="33" spans="5:26" x14ac:dyDescent="0.2">
      <c r="E33" s="157"/>
      <c r="F33" s="158"/>
      <c r="G33" s="158"/>
      <c r="H33" s="158"/>
      <c r="I33" s="158"/>
      <c r="J33" s="158"/>
      <c r="K33" s="158"/>
      <c r="L33" s="158"/>
      <c r="M33" s="158"/>
      <c r="N33" s="158"/>
      <c r="O33" s="158"/>
      <c r="P33" s="158"/>
      <c r="Q33" s="158"/>
      <c r="R33" s="158"/>
      <c r="S33" s="158"/>
      <c r="T33" s="158"/>
      <c r="U33" s="158"/>
      <c r="V33" s="158"/>
      <c r="W33" s="158"/>
      <c r="X33" s="158"/>
      <c r="Y33" s="158"/>
      <c r="Z33" s="159"/>
    </row>
    <row r="34" spans="5:26" x14ac:dyDescent="0.2">
      <c r="E34" s="157"/>
      <c r="F34" s="158"/>
      <c r="G34" s="158"/>
      <c r="H34" s="158"/>
      <c r="I34" s="158"/>
      <c r="J34" s="158"/>
      <c r="K34" s="158"/>
      <c r="L34" s="158"/>
      <c r="M34" s="158"/>
      <c r="N34" s="158"/>
      <c r="O34" s="158"/>
      <c r="P34" s="158"/>
      <c r="Q34" s="158"/>
      <c r="R34" s="158"/>
      <c r="S34" s="158"/>
      <c r="T34" s="158"/>
      <c r="U34" s="158"/>
      <c r="V34" s="158"/>
      <c r="W34" s="158"/>
      <c r="X34" s="158"/>
      <c r="Y34" s="158"/>
      <c r="Z34" s="159"/>
    </row>
    <row r="35" spans="5:26" ht="16" thickBot="1" x14ac:dyDescent="0.25">
      <c r="E35" s="178"/>
      <c r="F35" s="179"/>
      <c r="G35" s="179"/>
      <c r="H35" s="179"/>
      <c r="I35" s="179"/>
      <c r="J35" s="179"/>
      <c r="K35" s="179"/>
      <c r="L35" s="179"/>
      <c r="M35" s="179"/>
      <c r="N35" s="179"/>
      <c r="O35" s="179"/>
      <c r="P35" s="179"/>
      <c r="Q35" s="179"/>
      <c r="R35" s="179"/>
      <c r="S35" s="179"/>
      <c r="T35" s="179"/>
      <c r="U35" s="179"/>
      <c r="V35" s="179"/>
      <c r="W35" s="179"/>
      <c r="X35" s="179"/>
      <c r="Y35" s="179"/>
      <c r="Z35" s="180"/>
    </row>
    <row r="36" spans="5:26" ht="16" thickTop="1" x14ac:dyDescent="0.2"/>
  </sheetData>
  <mergeCells count="19">
    <mergeCell ref="B22:C22"/>
    <mergeCell ref="E12:G12"/>
    <mergeCell ref="G16:Y16"/>
    <mergeCell ref="E3:G3"/>
    <mergeCell ref="B3:C3"/>
    <mergeCell ref="B13:C13"/>
    <mergeCell ref="B4:C4"/>
    <mergeCell ref="B9:C9"/>
    <mergeCell ref="G18:I18"/>
    <mergeCell ref="K18:M18"/>
    <mergeCell ref="O18:Q18"/>
    <mergeCell ref="S18:U18"/>
    <mergeCell ref="W18:Y18"/>
    <mergeCell ref="G26:Y26"/>
    <mergeCell ref="G28:I28"/>
    <mergeCell ref="K28:M28"/>
    <mergeCell ref="O28:Q28"/>
    <mergeCell ref="S28:U28"/>
    <mergeCell ref="W28:Y28"/>
  </mergeCells>
  <conditionalFormatting sqref="I20:I22">
    <cfRule type="containsText" dxfId="173" priority="54" operator="containsText" text="jaar">
      <formula>NOT(ISERROR(SEARCH("jaar",I20)))</formula>
    </cfRule>
    <cfRule type="containsText" dxfId="172" priority="53" operator="containsText" text="Voldoende">
      <formula>NOT(ISERROR(SEARCH("Voldoende",I20)))</formula>
    </cfRule>
    <cfRule type="cellIs" dxfId="171" priority="52" operator="equal">
      <formula>"Onvoldoende"</formula>
    </cfRule>
  </conditionalFormatting>
  <conditionalFormatting sqref="I30:I32">
    <cfRule type="cellIs" dxfId="170" priority="25" operator="equal">
      <formula>"Onvoldoende"</formula>
    </cfRule>
    <cfRule type="containsText" dxfId="169" priority="26" operator="containsText" text="Voldoende">
      <formula>NOT(ISERROR(SEARCH("Voldoende",I30)))</formula>
    </cfRule>
    <cfRule type="containsText" dxfId="168" priority="27" operator="containsText" text="jaar">
      <formula>NOT(ISERROR(SEARCH("jaar",I30)))</formula>
    </cfRule>
  </conditionalFormatting>
  <conditionalFormatting sqref="I18:J19 Q18:R19 U18:V19">
    <cfRule type="containsText" dxfId="167" priority="65" operator="containsText" text="Voldoende">
      <formula>NOT(ISERROR(SEARCH("Voldoende",I18)))</formula>
    </cfRule>
    <cfRule type="cellIs" dxfId="166" priority="64" operator="equal">
      <formula>"Onvoldoende"</formula>
    </cfRule>
    <cfRule type="containsText" dxfId="165" priority="66" operator="containsText" text="jaar">
      <formula>NOT(ISERROR(SEARCH("jaar",I18)))</formula>
    </cfRule>
  </conditionalFormatting>
  <conditionalFormatting sqref="I28:J29 Q28:R29 U28:V29">
    <cfRule type="cellIs" dxfId="164" priority="10" operator="equal">
      <formula>"Onvoldoende"</formula>
    </cfRule>
    <cfRule type="containsText" dxfId="163" priority="11" operator="containsText" text="Voldoende">
      <formula>NOT(ISERROR(SEARCH("Voldoende",I28)))</formula>
    </cfRule>
    <cfRule type="containsText" dxfId="162" priority="12" operator="containsText" text="jaar">
      <formula>NOT(ISERROR(SEARCH("jaar",I28)))</formula>
    </cfRule>
  </conditionalFormatting>
  <conditionalFormatting sqref="M20:M22">
    <cfRule type="containsText" dxfId="161" priority="51" operator="containsText" text="jaar">
      <formula>NOT(ISERROR(SEARCH("jaar",M20)))</formula>
    </cfRule>
    <cfRule type="containsText" dxfId="160" priority="50" operator="containsText" text="Voldoende">
      <formula>NOT(ISERROR(SEARCH("Voldoende",M20)))</formula>
    </cfRule>
    <cfRule type="cellIs" dxfId="159" priority="49" operator="equal">
      <formula>"Onvoldoende"</formula>
    </cfRule>
  </conditionalFormatting>
  <conditionalFormatting sqref="M30:M32">
    <cfRule type="cellIs" dxfId="158" priority="22" operator="equal">
      <formula>"Onvoldoende"</formula>
    </cfRule>
    <cfRule type="containsText" dxfId="157" priority="23" operator="containsText" text="Voldoende">
      <formula>NOT(ISERROR(SEARCH("Voldoende",M30)))</formula>
    </cfRule>
    <cfRule type="containsText" dxfId="156" priority="24" operator="containsText" text="jaar">
      <formula>NOT(ISERROR(SEARCH("jaar",M30)))</formula>
    </cfRule>
  </conditionalFormatting>
  <conditionalFormatting sqref="M18:N19">
    <cfRule type="cellIs" dxfId="155" priority="58" operator="equal">
      <formula>"Onvoldoende"</formula>
    </cfRule>
    <cfRule type="containsText" dxfId="154" priority="60" operator="containsText" text="jaar">
      <formula>NOT(ISERROR(SEARCH("jaar",M18)))</formula>
    </cfRule>
    <cfRule type="containsText" dxfId="153" priority="59" operator="containsText" text="Voldoende">
      <formula>NOT(ISERROR(SEARCH("Voldoende",M18)))</formula>
    </cfRule>
  </conditionalFormatting>
  <conditionalFormatting sqref="M28:N29">
    <cfRule type="cellIs" dxfId="152" priority="7" operator="equal">
      <formula>"Onvoldoende"</formula>
    </cfRule>
    <cfRule type="containsText" dxfId="151" priority="9" operator="containsText" text="jaar">
      <formula>NOT(ISERROR(SEARCH("jaar",M28)))</formula>
    </cfRule>
    <cfRule type="containsText" dxfId="150" priority="8" operator="containsText" text="Voldoende">
      <formula>NOT(ISERROR(SEARCH("Voldoende",M28)))</formula>
    </cfRule>
  </conditionalFormatting>
  <conditionalFormatting sqref="Q20:Q22">
    <cfRule type="cellIs" dxfId="149" priority="46" operator="equal">
      <formula>"Onvoldoende"</formula>
    </cfRule>
    <cfRule type="containsText" dxfId="148" priority="47" operator="containsText" text="Voldoende">
      <formula>NOT(ISERROR(SEARCH("Voldoende",Q20)))</formula>
    </cfRule>
    <cfRule type="containsText" dxfId="147" priority="48" operator="containsText" text="jaar">
      <formula>NOT(ISERROR(SEARCH("jaar",Q20)))</formula>
    </cfRule>
  </conditionalFormatting>
  <conditionalFormatting sqref="Q30:Q32">
    <cfRule type="containsText" dxfId="146" priority="21" operator="containsText" text="jaar">
      <formula>NOT(ISERROR(SEARCH("jaar",Q30)))</formula>
    </cfRule>
    <cfRule type="containsText" dxfId="145" priority="20" operator="containsText" text="Voldoende">
      <formula>NOT(ISERROR(SEARCH("Voldoende",Q30)))</formula>
    </cfRule>
    <cfRule type="cellIs" dxfId="144" priority="19" operator="equal">
      <formula>"Onvoldoende"</formula>
    </cfRule>
  </conditionalFormatting>
  <conditionalFormatting sqref="U20:U22">
    <cfRule type="cellIs" dxfId="143" priority="43" operator="equal">
      <formula>"Onvoldoende"</formula>
    </cfRule>
    <cfRule type="containsText" dxfId="142" priority="44" operator="containsText" text="Voldoende">
      <formula>NOT(ISERROR(SEARCH("Voldoende",U20)))</formula>
    </cfRule>
    <cfRule type="containsText" dxfId="141" priority="45" operator="containsText" text="jaar">
      <formula>NOT(ISERROR(SEARCH("jaar",U20)))</formula>
    </cfRule>
  </conditionalFormatting>
  <conditionalFormatting sqref="U30:U32">
    <cfRule type="containsText" dxfId="140" priority="18" operator="containsText" text="jaar">
      <formula>NOT(ISERROR(SEARCH("jaar",U30)))</formula>
    </cfRule>
    <cfRule type="containsText" dxfId="139" priority="17" operator="containsText" text="Voldoende">
      <formula>NOT(ISERROR(SEARCH("Voldoende",U30)))</formula>
    </cfRule>
    <cfRule type="cellIs" dxfId="138" priority="16" operator="equal">
      <formula>"Onvoldoende"</formula>
    </cfRule>
  </conditionalFormatting>
  <conditionalFormatting sqref="Y18:Y22">
    <cfRule type="cellIs" dxfId="137" priority="40" operator="equal">
      <formula>"Onvoldoende"</formula>
    </cfRule>
    <cfRule type="containsText" dxfId="136" priority="42" operator="containsText" text="jaar">
      <formula>NOT(ISERROR(SEARCH("jaar",Y18)))</formula>
    </cfRule>
    <cfRule type="containsText" dxfId="135" priority="41" operator="containsText" text="Voldoende">
      <formula>NOT(ISERROR(SEARCH("Voldoende",Y18)))</formula>
    </cfRule>
  </conditionalFormatting>
  <conditionalFormatting sqref="Y28:Y32">
    <cfRule type="containsText" dxfId="134" priority="3" operator="containsText" text="jaar">
      <formula>NOT(ISERROR(SEARCH("jaar",Y28)))</formula>
    </cfRule>
    <cfRule type="containsText" dxfId="133" priority="2" operator="containsText" text="Voldoende">
      <formula>NOT(ISERROR(SEARCH("Voldoende",Y28)))</formula>
    </cfRule>
    <cfRule type="cellIs" dxfId="132" priority="1" operator="equal">
      <formula>"Onvoldoende"</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A4A24-C735-434F-ACF6-AD3ED109C29B}">
  <dimension ref="B1:AD43"/>
  <sheetViews>
    <sheetView showGridLines="0" topLeftCell="F24" zoomScale="113" zoomScaleNormal="100" workbookViewId="0">
      <selection activeCell="K19" sqref="K19:M23"/>
    </sheetView>
  </sheetViews>
  <sheetFormatPr baseColWidth="10" defaultRowHeight="15" x14ac:dyDescent="0.2"/>
  <cols>
    <col min="1" max="22" width="12.83203125" customWidth="1"/>
  </cols>
  <sheetData>
    <row r="1" spans="2:30" ht="17" customHeight="1" thickBot="1" x14ac:dyDescent="0.25"/>
    <row r="2" spans="2:30" s="150" customFormat="1" ht="32" customHeight="1" thickBot="1" x14ac:dyDescent="0.25">
      <c r="J2" s="207" t="s">
        <v>114</v>
      </c>
      <c r="K2" s="208"/>
      <c r="L2" s="208"/>
      <c r="M2" s="208"/>
      <c r="N2" s="209"/>
    </row>
    <row r="3" spans="2:30" ht="17" customHeight="1" x14ac:dyDescent="0.2">
      <c r="J3" s="152"/>
      <c r="K3" s="152"/>
      <c r="L3" s="152"/>
      <c r="M3" s="152"/>
      <c r="N3" s="152"/>
    </row>
    <row r="4" spans="2:30" ht="17" customHeight="1" thickBot="1" x14ac:dyDescent="0.25">
      <c r="J4" s="151"/>
    </row>
    <row r="5" spans="2:30" ht="17" customHeight="1" thickBot="1" x14ac:dyDescent="0.3">
      <c r="E5" s="53"/>
      <c r="F5" s="53"/>
      <c r="G5" s="213" t="s">
        <v>97</v>
      </c>
      <c r="H5" s="214"/>
      <c r="I5" s="214"/>
      <c r="J5" s="214"/>
      <c r="K5" s="214"/>
      <c r="L5" s="214"/>
      <c r="M5" s="214"/>
      <c r="N5" s="214"/>
      <c r="O5" s="214"/>
      <c r="P5" s="214"/>
      <c r="Q5" s="215"/>
      <c r="R5" s="139"/>
    </row>
    <row r="6" spans="2:30" ht="17" customHeight="1" thickBot="1" x14ac:dyDescent="0.25"/>
    <row r="7" spans="2:30" ht="17" customHeight="1" thickBot="1" x14ac:dyDescent="0.25">
      <c r="C7" s="210" t="s">
        <v>50</v>
      </c>
      <c r="D7" s="211"/>
      <c r="E7" s="211"/>
      <c r="F7" s="211"/>
      <c r="G7" s="211"/>
      <c r="H7" s="211"/>
      <c r="I7" s="211"/>
      <c r="J7" s="211"/>
      <c r="K7" s="211"/>
      <c r="L7" s="211"/>
      <c r="M7" s="211"/>
      <c r="N7" s="211"/>
      <c r="O7" s="211"/>
      <c r="P7" s="211"/>
      <c r="Q7" s="211"/>
      <c r="R7" s="211"/>
      <c r="S7" s="211"/>
      <c r="T7" s="211"/>
      <c r="U7" s="212"/>
      <c r="AA7" s="35"/>
      <c r="AB7" s="35"/>
      <c r="AC7" s="35"/>
      <c r="AD7" s="35"/>
    </row>
    <row r="8" spans="2:30" ht="17" customHeight="1" thickBot="1" x14ac:dyDescent="0.25">
      <c r="G8" s="35"/>
      <c r="H8" s="35"/>
      <c r="I8" s="35"/>
      <c r="J8" s="35"/>
      <c r="K8" s="35"/>
      <c r="L8" s="35"/>
      <c r="M8" s="35"/>
      <c r="N8" s="35"/>
      <c r="AB8" s="3"/>
    </row>
    <row r="9" spans="2:30" ht="17" customHeight="1" thickBot="1" x14ac:dyDescent="0.25">
      <c r="C9" s="204" t="s">
        <v>137</v>
      </c>
      <c r="D9" s="205"/>
      <c r="E9" s="206"/>
      <c r="F9" s="66"/>
      <c r="G9" s="204" t="s">
        <v>90</v>
      </c>
      <c r="H9" s="205"/>
      <c r="I9" s="206"/>
      <c r="J9" s="66"/>
      <c r="K9" s="216" t="s">
        <v>89</v>
      </c>
      <c r="L9" s="217"/>
      <c r="M9" s="206"/>
      <c r="N9" s="66"/>
      <c r="O9" s="216" t="s">
        <v>59</v>
      </c>
      <c r="P9" s="217"/>
      <c r="Q9" s="206"/>
      <c r="R9" s="66"/>
      <c r="S9" s="192" t="str">
        <f>Input!$C$11*100&amp;"% (Aanvullende subsidie + Ledenlening)"</f>
        <v>130% (Aanvullende subsidie + Ledenlening)</v>
      </c>
      <c r="T9" s="193"/>
      <c r="U9" s="194"/>
      <c r="AA9" s="46"/>
      <c r="AB9" s="46"/>
      <c r="AC9" s="46"/>
      <c r="AD9" s="46"/>
    </row>
    <row r="10" spans="2:30" ht="17" customHeight="1" thickBot="1" x14ac:dyDescent="0.25">
      <c r="C10" s="102" t="s">
        <v>49</v>
      </c>
      <c r="D10" s="136" t="s">
        <v>96</v>
      </c>
      <c r="E10" s="110" t="s">
        <v>48</v>
      </c>
      <c r="F10" s="137"/>
      <c r="G10" s="102" t="s">
        <v>49</v>
      </c>
      <c r="H10" s="128" t="s">
        <v>96</v>
      </c>
      <c r="I10" s="110" t="s">
        <v>48</v>
      </c>
      <c r="J10" s="137"/>
      <c r="K10" s="141" t="s">
        <v>49</v>
      </c>
      <c r="L10" s="68" t="s">
        <v>96</v>
      </c>
      <c r="M10" s="68" t="s">
        <v>48</v>
      </c>
      <c r="N10" s="137"/>
      <c r="O10" s="142" t="s">
        <v>49</v>
      </c>
      <c r="P10" s="102" t="s">
        <v>96</v>
      </c>
      <c r="Q10" s="103" t="s">
        <v>48</v>
      </c>
      <c r="R10" s="140"/>
      <c r="S10" s="102" t="s">
        <v>49</v>
      </c>
      <c r="T10" s="102" t="s">
        <v>96</v>
      </c>
      <c r="U10" s="128" t="s">
        <v>48</v>
      </c>
      <c r="Z10" s="63"/>
      <c r="AA10" s="47"/>
      <c r="AB10" s="47"/>
      <c r="AC10" s="47"/>
      <c r="AD10" s="47"/>
    </row>
    <row r="11" spans="2:30" ht="17" customHeight="1" thickBot="1" x14ac:dyDescent="0.25">
      <c r="B11" s="67">
        <f>Input!F$5</f>
        <v>25000</v>
      </c>
      <c r="C11" s="79">
        <f>'Aanv. subsidie + ledenlening'!J$31</f>
        <v>2003.6611737324231</v>
      </c>
      <c r="D11" s="104">
        <f>SUMIF('Aanv. subsidie + ledenlening'!$J$19:$J$28,"&gt;"&amp;'Aannames over draagkracht'!$D$8)*12-('Aannames over draagkracht'!$D$8*12*COUNTIF('Aanv. subsidie + ledenlening'!$J$19:$J$28,"&gt;"&amp;'Aannames over draagkracht'!$D$8))
-('Aannames over draagkracht'!$D$15*COUNTIF(Ledenlening!$H$19:$H$28,"&gt;"&amp;'Aannames over draagkracht'!$D$15))</f>
        <v>2003.6611737324231</v>
      </c>
      <c r="E11" s="133" t="str" cm="1">
        <f t="array" ref="E11">_xlfn.IFNA(INDEX('Aanv. subsidie + ledenlening'!$E$19:$E$28, MATCH(TRUE, 'Aanv. subsidie + ledenlening'!$J$19:$J$28&gt;'Aannames over draagkracht'!$D$8, 0)),"Voldoende")</f>
        <v>jaar 5</v>
      </c>
      <c r="F11" s="138"/>
      <c r="G11" s="105">
        <f>Ledenlening!H31</f>
        <v>2003.6611737324231</v>
      </c>
      <c r="H11" s="104">
        <f>SUMIF(Ledenlening!$H$19:$H$28,"&gt;"&amp;'Aannames over draagkracht'!$D$8)*12-('Aannames over draagkracht'!$D$8*12*COUNTIF(Ledenlening!$H$19:$H$28,"&gt;"&amp;'Aannames over draagkracht'!$D$8))
-('Aannames over draagkracht'!$D$15*COUNTIF(Ledenlening!$H$19:$H$28,"&gt;"&amp;'Aannames over draagkracht'!$D$15))</f>
        <v>2003.6611737324231</v>
      </c>
      <c r="I11" s="82" t="str" cm="1">
        <f t="array" ref="I11">_xlfn.IFNA(INDEX(Ledenlening!$E$19:$E$28, MATCH(TRUE, Ledenlening!$G$19:$G$28&gt;'Aannames over draagkracht'!$D$8, 0)),"Voldoende")</f>
        <v>jaar 5</v>
      </c>
      <c r="J11" s="131"/>
      <c r="K11" s="104">
        <f>Ledenlening!H31</f>
        <v>2003.6611737324231</v>
      </c>
      <c r="L11" s="104">
        <f>SUMIF(Ledenlening!$H$19:$H$28,"&gt;"&amp;'Aannames over draagkracht'!$D$15)*12-('Aannames over draagkracht'!$D$15*12*COUNTIF(Ledenlening!$H$19:$H$28,"&gt;"&amp;'Aannames over draagkracht'!$D$15))
-('Aannames over draagkracht'!$D$15*COUNTIF(Ledenlening!$H$19:$H$28,"&gt;"&amp;'Aannames over draagkracht'!$D$15))</f>
        <v>0</v>
      </c>
      <c r="M11" s="82" t="str" cm="1">
        <f t="array" ref="M11">_xlfn.IFNA(INDEX(Ledenlening!$E$19:$E$28, MATCH(TRUE, Ledenlening!$G$19:$G$28&gt;'Aannames over draagkracht'!$D$15, 0)),"Voldoende")</f>
        <v>Voldoende</v>
      </c>
      <c r="N11" s="131"/>
      <c r="O11" s="81">
        <f>Overig!$G$29</f>
        <v>7399.1312146985219</v>
      </c>
      <c r="P11" s="104">
        <f>SUMIF(Overig!$G$17:$G$26,"&gt;"&amp;'Aannames over draagkracht'!$D$22)*12-('Aannames over draagkracht'!$D$22*12*COUNTIF(Overig!$G$17:$G$26,"&gt;"&amp;'Aannames over draagkracht'!$D$22))
-('Aannames over draagkracht'!$D$15*COUNTIF(Ledenlening!$H$19:$H$28,"&gt;"&amp;'Aannames over draagkracht'!$D$15))</f>
        <v>0</v>
      </c>
      <c r="Q11" s="82" t="str" cm="1">
        <f t="array" ref="Q11">_xlfn.IFNA(INDEX("Onvoldoende", MATCH(TRUE, Overig!$G$17:$G$26&gt;'Aannames over draagkracht'!$D$22, 0)),"Voldoende")</f>
        <v>Voldoende</v>
      </c>
      <c r="R11" s="131"/>
      <c r="S11" s="105">
        <f>'Aanv. subsidie + ledenlening'!J$31</f>
        <v>2003.6611737324231</v>
      </c>
      <c r="T11" s="104">
        <f>SUMIF('Aanv. subsidie + ledenlening'!$J$19:$J$28,"&gt;"&amp;'Aannames over draagkracht'!$D$35)*12-('Aannames over draagkracht'!$D$35*12*COUNTIF('Aanv. subsidie + ledenlening'!$J$19:$J$28,"&gt;"&amp;'Aannames over draagkracht'!$D$35))
-('Aannames over draagkracht'!$D$15*COUNTIF(Ledenlening!$H$19:$H$28,"&gt;"&amp;'Aannames over draagkracht'!$D$15))</f>
        <v>310.41630649874605</v>
      </c>
      <c r="U11" s="82" t="str" cm="1">
        <f t="array" ref="U11">_xlfn.IFNA(INDEX('Aanv. subsidie + ledenlening'!$E$19:$E$28,MATCH(TRUE,'Aanv. subsidie + ledenlening'!$J$19:$J$28&gt;'Aannames over draagkracht'!$D$35, 0)),"Voldoende")</f>
        <v>jaar 9</v>
      </c>
      <c r="Z11" s="63"/>
      <c r="AA11" s="47"/>
      <c r="AB11" s="47"/>
      <c r="AC11" s="47"/>
      <c r="AD11" s="47"/>
    </row>
    <row r="12" spans="2:30" ht="17" customHeight="1" thickBot="1" x14ac:dyDescent="0.25">
      <c r="B12" s="64">
        <f>Input!F$6</f>
        <v>50000</v>
      </c>
      <c r="C12" s="79">
        <f>'Aanv. subsidie + ledenlening'!R$31</f>
        <v>8907.620756006283</v>
      </c>
      <c r="D12" s="105">
        <f>SUMIF('Aanv. subsidie + ledenlening'!$R$19:$R$28,"&gt;"&amp;'Aannames over draagkracht'!$D$8)*12-('Aannames over draagkracht'!$D$8*12*COUNTIF('Aanv. subsidie + ledenlening'!$R$19:$R$28,"&gt;"&amp;'Aannames over draagkracht'!$D$8))
-('Aannames over draagkracht'!$D$15*COUNTIF(Ledenlening!$H$19:$H$28,"&gt;"&amp;'Aannames over draagkracht'!$D$15))</f>
        <v>8907.620756006283</v>
      </c>
      <c r="E12" s="134" t="str" cm="1">
        <f t="array" ref="E12">_xlfn.IFNA(INDEX('Aanv. subsidie + ledenlening'!$M$19:$M$28, MATCH(TRUE, 'Aanv. subsidie + ledenlening'!$R$19:$R$28&gt;'Aannames over draagkracht'!$D$8, 0)),"Voldoende")</f>
        <v>jaar 1</v>
      </c>
      <c r="F12" s="138"/>
      <c r="G12" s="105">
        <f>Ledenlening!O31</f>
        <v>8907.620756006283</v>
      </c>
      <c r="H12" s="105">
        <f>SUMIF(Ledenlening!$O$19:$O$28,"&gt;"&amp;'Aannames over draagkracht'!$D$8)*12-('Aannames over draagkracht'!$D$8*12*COUNTIF(Ledenlening!$O$19:$O$28,"&gt;"&amp;'Aannames over draagkracht'!$D$8))</f>
        <v>8907.620756006283</v>
      </c>
      <c r="I12" s="69" t="str" cm="1">
        <f t="array" ref="I12">_xlfn.IFNA(INDEX(Ledenlening!$L$19:$L$28,MATCH(TRUE, Ledenlening!$N$19:$N$28&gt;'Aannames over draagkracht'!$D$8, 0)),"Voldoende")</f>
        <v>jaar 1</v>
      </c>
      <c r="J12" s="131"/>
      <c r="K12" s="105">
        <f>Ledenlening!O31</f>
        <v>8907.620756006283</v>
      </c>
      <c r="L12" s="105">
        <f>SUMIF(Ledenlening!$O$19:$O$28,"&gt;"&amp;'Aannames over draagkracht'!$D$15)*12-('Aannames over draagkracht'!$D$15*12*COUNTIF(Ledenlening!$O$19:$O$28,"&gt;"&amp;'Aannames over draagkracht'!$D$15))</f>
        <v>0</v>
      </c>
      <c r="M12" s="69" t="str" cm="1">
        <f t="array" ref="M12">_xlfn.IFNA(INDEX(Ledenlening!$L$19:$L$28,MATCH(TRUE, Ledenlening!$N$19:$N$28&gt;'Aannames over draagkracht'!$D$15, 0)),"Voldoende")</f>
        <v>Voldoende</v>
      </c>
      <c r="N12" s="131"/>
      <c r="O12" s="79">
        <f>Overig!$N$29</f>
        <v>18807.620756006283</v>
      </c>
      <c r="P12" s="105">
        <f>SUMIF(Overig!$N$17:$N$26,"&gt;"&amp;'Aannames over draagkracht'!$D$22)*12-('Aannames over draagkracht'!$D$22*12*COUNTIF(Overig!$N$17:$N$26,"&gt;"&amp;'Aannames over draagkracht'!$D$22))
-('Aannames over draagkracht'!$D$15*COUNTIF(Ledenlening!$H$19:$H$28,"&gt;"&amp;'Aannames over draagkracht'!$D$15))</f>
        <v>0</v>
      </c>
      <c r="Q12" s="69" t="str" cm="1">
        <f t="array" ref="Q12">_xlfn.IFNA(INDEX("Onvoldoende", MATCH(TRUE, Overig!$N$17:$N$26&gt;'Aannames over draagkracht'!$D$22, 0)),"Voldoende")</f>
        <v>Voldoende</v>
      </c>
      <c r="R12" s="131"/>
      <c r="S12" s="105">
        <f>'Aanv. subsidie + ledenlening'!R$31</f>
        <v>8907.620756006283</v>
      </c>
      <c r="T12" s="105">
        <f>SUMIF('Aanv. subsidie + ledenlening'!$R$19:$R$28,"&gt;"&amp;'Aannames over draagkracht'!$D$35)*12-('Aannames over draagkracht'!$D$35*12*COUNTIF('Aanv. subsidie + ledenlening'!$R$19:$R$28,"&gt;"&amp;'Aannames over draagkracht'!$D$35))
-('Aannames over draagkracht'!$D$15*COUNTIF(Ledenlening!$H$19:$H$28,"&gt;"&amp;'Aannames over draagkracht'!$D$15))</f>
        <v>5280.3526048050171</v>
      </c>
      <c r="U12" s="82" t="str" cm="1">
        <f t="array" ref="U12">_xlfn.IFNA(INDEX('Aanv. subsidie + ledenlening'!$M$19:$M$28,MATCH(TRUE,'Aanv. subsidie + ledenlening'!$R$19:$R$28&gt;'Aannames over draagkracht'!$D$35, 0)),"Voldoende")</f>
        <v>jaar 3</v>
      </c>
      <c r="V12" s="79"/>
      <c r="Z12" s="63"/>
      <c r="AA12" s="47"/>
      <c r="AB12" s="47"/>
      <c r="AC12" s="47"/>
      <c r="AD12" s="47"/>
    </row>
    <row r="13" spans="2:30" ht="17" customHeight="1" thickBot="1" x14ac:dyDescent="0.25">
      <c r="B13" s="65">
        <f>Input!F$7</f>
        <v>75000</v>
      </c>
      <c r="C13" s="80">
        <f>'Aanv. subsidie + ledenlening'!Z$31</f>
        <v>20916.110297314037</v>
      </c>
      <c r="D13" s="106">
        <f>SUMIF('Aanv. subsidie + ledenlening'!$Z$19:$Z$28,"&gt;"&amp;'Aannames over draagkracht'!$D$8)*12-('Aannames over draagkracht'!$D$8*12*COUNTIF('Aanv. subsidie + ledenlening'!$Z$19:$Z$28,"&gt;"&amp;'Aannames over draagkracht'!$D$8))
-('Aannames over draagkracht'!$D$15*COUNTIF(Ledenlening!$H$19:$H$28,"&gt;"&amp;'Aannames over draagkracht'!$D$15))</f>
        <v>20916.110297314037</v>
      </c>
      <c r="E13" s="135" t="str" cm="1">
        <f t="array" ref="E13">_xlfn.IFNA(INDEX('Aanv. subsidie + ledenlening'!$U$19:$U$28, MATCH(TRUE, 'Aanv. subsidie + ledenlening'!$Z$19:$Z$28&gt;'Aannames over draagkracht'!$D$8, 0)),"Voldoende")</f>
        <v>jaar 1</v>
      </c>
      <c r="F13" s="138"/>
      <c r="G13" s="106">
        <f>Ledenlening!V31</f>
        <v>20916.110297314037</v>
      </c>
      <c r="H13" s="106">
        <f>SUMIF(Ledenlening!$V$19:$V$28,"&gt;"&amp;'Aannames over draagkracht'!$D$8)*12-('Aannames over draagkracht'!$D$8*12*COUNTIF(Ledenlening!$V$19:$V$28,"&gt;"&amp;'Aannames over draagkracht'!$D$8))</f>
        <v>20916.110297314037</v>
      </c>
      <c r="I13" s="70" t="str" cm="1">
        <f t="array" ref="I13">_xlfn.IFNA(INDEX(Ledenlening!$S$19:$S$28, MATCH(TRUE, Ledenlening!$U$19:$U$28&gt;'Aannames over draagkracht'!$D$8, 0)),"Voldoende")</f>
        <v>jaar 1</v>
      </c>
      <c r="J13" s="131"/>
      <c r="K13" s="106">
        <f>Ledenlening!V31</f>
        <v>20916.110297314037</v>
      </c>
      <c r="L13" s="106">
        <f>SUMIF(Ledenlening!$V$19:$V$28,"&gt;"&amp;'Aannames over draagkracht'!$D$15)*12-('Aannames over draagkracht'!$D$15*12*COUNTIF(Ledenlening!$V$19:$V$28,"&gt;"&amp;'Aannames over draagkracht'!$D$15))</f>
        <v>2440.1051486570104</v>
      </c>
      <c r="M13" s="70" t="str" cm="1">
        <f t="array" ref="M13">_xlfn.IFNA(INDEX(Ledenlening!$S$19:$S$28, MATCH(TRUE, Ledenlening!$U$19:$U$28&gt;'Aannames over draagkracht'!$D$15, 0)),"Voldoende")</f>
        <v>jaar 6</v>
      </c>
      <c r="N13" s="131"/>
      <c r="O13" s="80">
        <f>Overig!$U$29</f>
        <v>30816.110297314044</v>
      </c>
      <c r="P13" s="106">
        <f>SUMIF(Overig!$U$17:$U$26,"&gt;"&amp;'Aannames over draagkracht'!$D$22)*12-('Aannames over draagkracht'!$D$22*12*COUNTIF(Overig!$U$17:$U$26,"&gt;"&amp;'Aannames over draagkracht'!$D$22))
-('Aannames over draagkracht'!$D$15*COUNTIF(Ledenlening!$H$19:$H$28,"&gt;"&amp;'Aannames over draagkracht'!$D$15))</f>
        <v>0</v>
      </c>
      <c r="Q13" s="70" t="str" cm="1">
        <f t="array" ref="Q13">_xlfn.IFNA(INDEX("Onvoldoende", MATCH(TRUE, Overig!$U$17:$U$26&gt;'Aannames over draagkracht'!$D$22, 0)),"Voldoende")</f>
        <v>Voldoende</v>
      </c>
      <c r="R13" s="131"/>
      <c r="S13" s="106">
        <f>'Aanv. subsidie + ledenlening'!Z$31</f>
        <v>20916.110297314037</v>
      </c>
      <c r="T13" s="106">
        <f>SUMIF('Aanv. subsidie + ledenlening'!$Z$19:$Z$28,"&gt;"&amp;'Aannames over draagkracht'!$D$35)*12-('Aannames over draagkracht'!$D$35*12*COUNTIF('Aanv. subsidie + ledenlening'!$Z$19:$Z$28,"&gt;"&amp;'Aannames over draagkracht'!$D$35))
-('Aannames over draagkracht'!$D$15*COUNTIF(Ledenlening!$H$19:$H$28,"&gt;"&amp;'Aannames over draagkracht'!$D$15))</f>
        <v>16808.930297314026</v>
      </c>
      <c r="U13" s="181" t="str" cm="1">
        <f t="array" ref="U13">_xlfn.IFNA(INDEX('Aanv. subsidie + ledenlening'!$U$19:$U$28,MATCH(TRUE,'Aanv. subsidie + ledenlening'!$Z$19:$Z$28&gt;'Aannames over draagkracht'!$D$35, 0)),"Voldoende")</f>
        <v>jaar 1</v>
      </c>
      <c r="Z13" s="36"/>
      <c r="AB13" s="3"/>
      <c r="AC13" s="3"/>
    </row>
    <row r="14" spans="2:30" ht="17" customHeight="1" x14ac:dyDescent="0.2">
      <c r="I14" s="3"/>
      <c r="J14" s="3"/>
      <c r="T14" s="22"/>
      <c r="AB14" s="3"/>
    </row>
    <row r="15" spans="2:30" ht="17" customHeight="1" x14ac:dyDescent="0.2">
      <c r="I15" s="3"/>
      <c r="J15" s="3"/>
      <c r="T15" s="22"/>
      <c r="AB15" s="3"/>
    </row>
    <row r="16" spans="2:30" ht="17" customHeight="1" thickBot="1" x14ac:dyDescent="0.25">
      <c r="T16" s="22"/>
      <c r="AA16" s="221"/>
      <c r="AB16" s="221"/>
      <c r="AC16" s="221"/>
      <c r="AD16" s="221"/>
    </row>
    <row r="17" spans="2:30" ht="17" customHeight="1" thickBot="1" x14ac:dyDescent="0.25">
      <c r="C17" s="210" t="s">
        <v>51</v>
      </c>
      <c r="D17" s="211"/>
      <c r="E17" s="211"/>
      <c r="F17" s="211"/>
      <c r="G17" s="211"/>
      <c r="H17" s="211"/>
      <c r="I17" s="211"/>
      <c r="J17" s="211"/>
      <c r="K17" s="211"/>
      <c r="L17" s="211"/>
      <c r="M17" s="211"/>
      <c r="N17" s="211"/>
      <c r="O17" s="211"/>
      <c r="P17" s="211"/>
      <c r="Q17" s="211"/>
      <c r="R17" s="211"/>
      <c r="S17" s="211"/>
      <c r="T17" s="211"/>
      <c r="U17" s="212"/>
      <c r="AB17" s="3"/>
    </row>
    <row r="18" spans="2:30" ht="17" customHeight="1" thickBot="1" x14ac:dyDescent="0.25">
      <c r="G18" s="35"/>
      <c r="H18" s="35"/>
      <c r="I18" s="35"/>
      <c r="J18" s="35"/>
      <c r="K18" s="35"/>
      <c r="L18" s="35"/>
      <c r="M18" s="35"/>
      <c r="N18" s="35"/>
      <c r="AA18" s="46"/>
      <c r="AB18" s="46"/>
      <c r="AC18" s="46"/>
      <c r="AD18" s="46"/>
    </row>
    <row r="19" spans="2:30" ht="17" customHeight="1" thickBot="1" x14ac:dyDescent="0.25">
      <c r="C19" s="204" t="s">
        <v>137</v>
      </c>
      <c r="D19" s="205"/>
      <c r="E19" s="206"/>
      <c r="F19" s="66"/>
      <c r="G19" s="204" t="s">
        <v>90</v>
      </c>
      <c r="H19" s="205"/>
      <c r="I19" s="206"/>
      <c r="J19" s="66"/>
      <c r="K19" s="216" t="s">
        <v>89</v>
      </c>
      <c r="L19" s="217"/>
      <c r="M19" s="206"/>
      <c r="N19" s="66"/>
      <c r="O19" s="218" t="s">
        <v>59</v>
      </c>
      <c r="P19" s="219"/>
      <c r="Q19" s="220"/>
      <c r="R19" s="35"/>
      <c r="S19" s="192" t="str">
        <f>Input!$C$11*100&amp;"% (Aanvullende subsidie + Ledenlening)"</f>
        <v>130% (Aanvullende subsidie + Ledenlening)</v>
      </c>
      <c r="T19" s="193"/>
      <c r="U19" s="194"/>
      <c r="Z19" s="36"/>
      <c r="AA19" s="47"/>
      <c r="AB19" s="47"/>
      <c r="AC19" s="47"/>
      <c r="AD19" s="47"/>
    </row>
    <row r="20" spans="2:30" ht="17" customHeight="1" thickBot="1" x14ac:dyDescent="0.25">
      <c r="B20" s="66"/>
      <c r="C20" s="102" t="s">
        <v>49</v>
      </c>
      <c r="D20" s="102" t="s">
        <v>96</v>
      </c>
      <c r="E20" s="110" t="s">
        <v>78</v>
      </c>
      <c r="F20" s="137"/>
      <c r="G20" s="102" t="s">
        <v>49</v>
      </c>
      <c r="H20" s="102" t="s">
        <v>96</v>
      </c>
      <c r="I20" s="110" t="s">
        <v>48</v>
      </c>
      <c r="J20" s="137"/>
      <c r="K20" s="141" t="s">
        <v>49</v>
      </c>
      <c r="L20" s="102" t="s">
        <v>96</v>
      </c>
      <c r="M20" s="68" t="s">
        <v>48</v>
      </c>
      <c r="N20" s="137"/>
      <c r="O20" s="141" t="s">
        <v>49</v>
      </c>
      <c r="P20" s="102" t="s">
        <v>96</v>
      </c>
      <c r="Q20" s="103" t="s">
        <v>48</v>
      </c>
      <c r="R20" s="140"/>
      <c r="S20" s="102" t="s">
        <v>49</v>
      </c>
      <c r="T20" s="102" t="s">
        <v>96</v>
      </c>
      <c r="U20" s="128" t="s">
        <v>48</v>
      </c>
      <c r="Z20" s="36"/>
      <c r="AA20" s="47"/>
      <c r="AB20" s="47"/>
      <c r="AC20" s="47"/>
      <c r="AD20" s="47"/>
    </row>
    <row r="21" spans="2:30" ht="17" customHeight="1" thickBot="1" x14ac:dyDescent="0.25">
      <c r="B21" s="67">
        <f>Input!F$5</f>
        <v>25000</v>
      </c>
      <c r="C21" s="105">
        <f>'Aanv. subsidie + ledenlening'!J$31</f>
        <v>2003.6611737324231</v>
      </c>
      <c r="D21" s="104">
        <f>SUMIF('Aanv. subsidie + ledenlening'!$J$19:$J$28,"&gt;"&amp;'Aannames over draagkracht'!$D$9)*12-('Aannames over draagkracht'!$D$9*12*COUNTIF('Aanv. subsidie + ledenlening'!$J$19:$J$28,"&gt;"&amp;'Aannames over draagkracht'!$D$9))
-('Aannames over draagkracht'!$D$15*COUNTIF(Ledenlening!$H$19:$H$28,"&gt;"&amp;'Aannames over draagkracht'!$D$15))</f>
        <v>2003.6611737324231</v>
      </c>
      <c r="E21" s="124" t="str" cm="1">
        <f t="array" ref="E21">_xlfn.IFNA(INDEX('Aanv. subsidie + ledenlening'!$E$19:$E$28, MATCH(TRUE, 'Aanv. subsidie + ledenlening'!$J$19:$J$28&gt;'Aannames over draagkracht'!$D$9, 0)),"Voldoende")</f>
        <v>jaar 5</v>
      </c>
      <c r="F21" s="138"/>
      <c r="G21" s="104">
        <f>Ledenlening!$H$31</f>
        <v>2003.6611737324231</v>
      </c>
      <c r="H21" s="104">
        <f>SUMIF(Ledenlening!$H$19:$H$28,"&gt;"&amp;'Aannames over draagkracht'!$D$9)*12-('Aannames over draagkracht'!$D$9*12*COUNTIF(Ledenlening!$H$19:$H$28,"&gt;"&amp;'Aannames over draagkracht'!$D$9))
-('Aannames over draagkracht'!$D$15*COUNTIF(Ledenlening!$H$19:$H$28,"&gt;"&amp;'Aannames over draagkracht'!$D$15))</f>
        <v>2003.6611737324231</v>
      </c>
      <c r="I21" s="82" t="str" cm="1">
        <f t="array" ref="I21">_xlfn.IFNA(INDEX(Ledenlening!$E$19:$E$28, MATCH(TRUE, Ledenlening!$G$19:$G$28&gt;'Aannames over draagkracht'!$D$9, 0)),"Voldoende")</f>
        <v>jaar 5</v>
      </c>
      <c r="J21" s="131"/>
      <c r="K21" s="104">
        <f>Ledenlening!$H$31</f>
        <v>2003.6611737324231</v>
      </c>
      <c r="L21" s="104">
        <f>SUMIF(Ledenlening!$H$19:$H$28,"&gt;"&amp;'Aannames over draagkracht'!$D$16)*12-('Aannames over draagkracht'!$D$16*12*COUNTIF(Ledenlening!$H$19:$H$28,"&gt;"&amp;'Aannames over draagkracht'!$D$16))
-('Aannames over draagkracht'!$D$15*COUNTIF(Ledenlening!$H$19:$H$28,"&gt;"&amp;'Aannames over draagkracht'!$D$15))</f>
        <v>0</v>
      </c>
      <c r="M21" s="82" t="str" cm="1">
        <f t="array" ref="M21">_xlfn.IFNA(INDEX(Ledenlening!$E$19:$E$28, MATCH(TRUE, Ledenlening!$G$19:$G$28&gt;'Aannames over draagkracht'!$D$16, 0)),"Voldoende")</f>
        <v>Voldoende</v>
      </c>
      <c r="N21" s="131"/>
      <c r="O21" s="104">
        <f>Overig!$G$29</f>
        <v>7399.1312146985219</v>
      </c>
      <c r="P21" s="104">
        <f>SUMIF(Overig!$G$17:$G$26,"&gt;"&amp;'Aannames over draagkracht'!$D$23)*12-('Aannames over draagkracht'!$D$23*12*COUNTIF(Overig!$G$17:$G$26,"&gt;"&amp;'Aannames over draagkracht'!$D$23))
-('Aannames over draagkracht'!$D$15*COUNTIF(Ledenlening!$H$19:$H$28,"&gt;"&amp;'Aannames over draagkracht'!$D$15))</f>
        <v>0</v>
      </c>
      <c r="Q21" s="82" t="str" cm="1">
        <f t="array" ref="Q21">_xlfn.IFNA(INDEX("Onvoldoende", MATCH(TRUE, Overig!$G$17:$G$26&gt;'Aannames over draagkracht'!$D$23, 0)),"Voldoende")</f>
        <v>Voldoende</v>
      </c>
      <c r="R21" s="131"/>
      <c r="S21" s="105">
        <f>'Aanv. subsidie + ledenlening'!J$31</f>
        <v>2003.6611737324231</v>
      </c>
      <c r="T21" s="104">
        <f>SUMIF('Aanv. subsidie + ledenlening'!$J$19:$J$28,"&gt;"&amp;'Aannames over draagkracht'!$D$36)*12-('Aannames over draagkracht'!$D$36*12*COUNTIF('Aanv. subsidie + ledenlening'!$J$19:$J$28,"&gt;"&amp;'Aannames over draagkracht'!$D$36))
-('Aannames over draagkracht'!$D$15*COUNTIF(Ledenlening!$H$19:$H$28,"&gt;"&amp;'Aannames over draagkracht'!$D$15))</f>
        <v>25.181809322867025</v>
      </c>
      <c r="U21" s="82" t="str" cm="1">
        <f t="array" ref="U21">_xlfn.IFNA(INDEX('Aanv. subsidie + ledenlening'!$E$19:$E$28,MATCH(TRUE,'Aanv. subsidie + ledenlening'!$J$19:$J$28&gt;'Aannames over draagkracht'!$D$36, 0)),"Voldoende")</f>
        <v>jaar 10</v>
      </c>
      <c r="Z21" s="36"/>
      <c r="AA21" s="47"/>
      <c r="AB21" s="47"/>
      <c r="AC21" s="47"/>
      <c r="AD21" s="47"/>
    </row>
    <row r="22" spans="2:30" ht="17" customHeight="1" thickBot="1" x14ac:dyDescent="0.25">
      <c r="B22" s="64">
        <f>Input!F$6</f>
        <v>50000</v>
      </c>
      <c r="C22" s="105">
        <f>'Aanv. subsidie + ledenlening'!R$31</f>
        <v>8907.620756006283</v>
      </c>
      <c r="D22" s="105">
        <f>SUMIF('Aanv. subsidie + ledenlening'!$R$19:$R$28,"&gt;"&amp;'Aannames over draagkracht'!$D$9)*12-('Aannames over draagkracht'!$D$9*12*COUNTIF('Aanv. subsidie + ledenlening'!$R$19:$R$28,"&gt;"&amp;'Aannames over draagkracht'!$D$9))
-('Aannames over draagkracht'!$D$15*COUNTIF(Ledenlening!$H$19:$H$28,"&gt;"&amp;'Aannames over draagkracht'!$D$15))</f>
        <v>8907.620756006283</v>
      </c>
      <c r="E22" s="125" t="str" cm="1">
        <f t="array" ref="E22">_xlfn.IFNA(INDEX('Aanv. subsidie + ledenlening'!$M$19:$M$28, MATCH(TRUE, 'Aanv. subsidie + ledenlening'!$R$19:$R$28&gt;'Aannames over draagkracht'!$D$9, 0)),"Voldoende")</f>
        <v>jaar 1</v>
      </c>
      <c r="F22" s="138"/>
      <c r="G22" s="105">
        <f>Ledenlening!$O$31</f>
        <v>8907.620756006283</v>
      </c>
      <c r="H22" s="105">
        <f>SUMIF(Ledenlening!$O$19:$O$28,"&gt;"&amp;'Aannames over draagkracht'!$D$9)*12-('Aannames over draagkracht'!$D$9*12*COUNTIF(Ledenlening!$O$19:$O$28,"&gt;"&amp;'Aannames over draagkracht'!$D$9))</f>
        <v>8907.620756006283</v>
      </c>
      <c r="I22" s="69" t="str" cm="1">
        <f t="array" ref="I22">_xlfn.IFNA(INDEX(Ledenlening!$L$19:$L$28,MATCH(TRUE, Ledenlening!$N$19:$N$28&gt;'Aannames over draagkracht'!$D$9, 0)),"Voldoende")</f>
        <v>jaar 1</v>
      </c>
      <c r="J22" s="131"/>
      <c r="K22" s="105">
        <f>Ledenlening!$O$31</f>
        <v>8907.620756006283</v>
      </c>
      <c r="L22" s="105">
        <f>SUMIF(Ledenlening!$O$19:$O$28,"&gt;"&amp;'Aannames over draagkracht'!$D$16)*12-('Aannames over draagkracht'!$D$16*12*COUNTIF(Ledenlening!$O$19:$O$28,"&gt;"&amp;'Aannames over draagkracht'!$D$16))</f>
        <v>0</v>
      </c>
      <c r="M22" s="69" t="str" cm="1">
        <f t="array" ref="M22">_xlfn.IFNA(INDEX(Ledenlening!$L$19:$L$28,MATCH(TRUE, Ledenlening!$N$19:$N$28&gt;'Aannames over draagkracht'!$D$16, 0)),"Voldoende")</f>
        <v>Voldoende</v>
      </c>
      <c r="N22" s="131"/>
      <c r="O22" s="105">
        <f>Overig!$N$29</f>
        <v>18807.620756006283</v>
      </c>
      <c r="P22" s="105">
        <f>SUMIF(Overig!$N$17:$N$26,"&gt;"&amp;'Aannames over draagkracht'!$D$23)*12-('Aannames over draagkracht'!$D$23*12*COUNTIF(Overig!$N$17:$N$26,"&gt;"&amp;'Aannames over draagkracht'!$D$23))
-('Aannames over draagkracht'!$D$15*COUNTIF(Ledenlening!$H$19:$H$28,"&gt;"&amp;'Aannames over draagkracht'!$D$15))</f>
        <v>0</v>
      </c>
      <c r="Q22" s="69" t="str" cm="1">
        <f t="array" ref="Q22">_xlfn.IFNA(INDEX("Onvoldoende", MATCH(TRUE, Overig!$N$17:$N$26&gt;'Aannames over draagkracht'!$D$23, 0)),"Voldoende")</f>
        <v>Voldoende</v>
      </c>
      <c r="R22" s="131"/>
      <c r="S22" s="105">
        <f>'Aanv. subsidie + ledenlening'!R$31</f>
        <v>8907.620756006283</v>
      </c>
      <c r="T22" s="105">
        <f>SUMIF('Aanv. subsidie + ledenlening'!$R$19:$R$28,"&gt;"&amp;'Aannames over draagkracht'!$D$36)*12-('Aannames over draagkracht'!$D$36*12*COUNTIF('Aanv. subsidie + ledenlening'!$R$19:$R$28,"&gt;"&amp;'Aannames over draagkracht'!$D$36))
-('Aannames over draagkracht'!$D$15*COUNTIF(Ledenlening!$H$19:$H$28,"&gt;"&amp;'Aannames over draagkracht'!$D$15))</f>
        <v>3934.1545292043993</v>
      </c>
      <c r="U22" s="82" t="str" cm="1">
        <f t="array" ref="U22">_xlfn.IFNA(INDEX('Aanv. subsidie + ledenlening'!$M$19:$M$28,MATCH(TRUE,'Aanv. subsidie + ledenlening'!$R$19:$R$28&gt;'Aannames over draagkracht'!$D$36, 0)),"Voldoende")</f>
        <v>jaar 4</v>
      </c>
    </row>
    <row r="23" spans="2:30" ht="17" customHeight="1" thickBot="1" x14ac:dyDescent="0.25">
      <c r="B23" s="65">
        <f>Input!F$7</f>
        <v>75000</v>
      </c>
      <c r="C23" s="106">
        <f>'Aanv. subsidie + ledenlening'!Z$31</f>
        <v>20916.110297314037</v>
      </c>
      <c r="D23" s="106">
        <f>SUMIF('Aanv. subsidie + ledenlening'!$Z$19:$Z$28,"&gt;"&amp;'Aannames over draagkracht'!$D$9)*12-('Aannames over draagkracht'!$D$9*12*COUNTIF('Aanv. subsidie + ledenlening'!$Z$19:$Z$28,"&gt;"&amp;'Aannames over draagkracht'!$D$9))
-('Aannames over draagkracht'!$D$15*COUNTIF(Ledenlening!$H$19:$H$28,"&gt;"&amp;'Aannames over draagkracht'!$D$15))</f>
        <v>20916.110297314037</v>
      </c>
      <c r="E23" s="126" t="str" cm="1">
        <f t="array" ref="E23">_xlfn.IFNA(INDEX('Aanv. subsidie + ledenlening'!$U$19:$U$28, MATCH(TRUE, 'Aanv. subsidie + ledenlening'!$Z$19:$Z$28&gt;'Aannames over draagkracht'!$D$9, 0)),"Voldoende")</f>
        <v>jaar 1</v>
      </c>
      <c r="F23" s="138"/>
      <c r="G23" s="106">
        <f>Ledenlening!$V$31</f>
        <v>20916.110297314037</v>
      </c>
      <c r="H23" s="106">
        <f>SUMIF(Ledenlening!$V$19:$V$28,"&gt;"&amp;'Aannames over draagkracht'!$D$9)*12-('Aannames over draagkracht'!$D$9*12*COUNTIF(Ledenlening!$V$19:$V$28,"&gt;"&amp;'Aannames over draagkracht'!$D$9))</f>
        <v>20916.110297314037</v>
      </c>
      <c r="I23" s="70" t="str" cm="1">
        <f t="array" ref="I23">_xlfn.IFNA(INDEX(Ledenlening!$S$19:$S$28, MATCH(TRUE, Ledenlening!$U$19:$U$28&gt;'Aannames over draagkracht'!$D$9, 0)),"Voldoende")</f>
        <v>jaar 1</v>
      </c>
      <c r="J23" s="131"/>
      <c r="K23" s="106">
        <f>Ledenlening!$V$31</f>
        <v>20916.110297314037</v>
      </c>
      <c r="L23" s="106">
        <f>SUMIF(Ledenlening!$V$19:$V$28,"&gt;"&amp;'Aannames over draagkracht'!$D$16)*12-('Aannames over draagkracht'!$D$16*12*COUNTIF(Ledenlening!$V$19:$V$28,"&gt;"&amp;'Aannames over draagkracht'!$D$16))</f>
        <v>0</v>
      </c>
      <c r="M23" s="70" t="str" cm="1">
        <f t="array" ref="M23">_xlfn.IFNA(INDEX(Ledenlening!$S$19:$S$28, MATCH(TRUE, Ledenlening!$U$19:$U$28&gt;'Aannames over draagkracht'!$D$16, 0)),"Voldoende")</f>
        <v>Voldoende</v>
      </c>
      <c r="N23" s="131"/>
      <c r="O23" s="106">
        <f>Overig!$U$29</f>
        <v>30816.110297314044</v>
      </c>
      <c r="P23" s="106">
        <f>SUMIF(Overig!$U$17:$U$26,"&gt;"&amp;'Aannames over draagkracht'!$D$23)*12-('Aannames over draagkracht'!$D$23*12*COUNTIF(Overig!$U$17:$U$26,"&gt;"&amp;'Aannames over draagkracht'!$D$23))
-('Aannames over draagkracht'!$D$15*COUNTIF(Ledenlening!$H$19:$H$28,"&gt;"&amp;'Aannames over draagkracht'!$D$15))</f>
        <v>0</v>
      </c>
      <c r="Q23" s="70" t="str" cm="1">
        <f t="array" ref="Q23">_xlfn.IFNA(INDEX("Onvoldoende", MATCH(TRUE, Overig!$U$17:$U$26&gt;'Aannames over draagkracht'!$D$23, 0)),"Voldoende")</f>
        <v>Voldoende</v>
      </c>
      <c r="R23" s="131"/>
      <c r="S23" s="106">
        <f>'Aanv. subsidie + ledenlening'!Z$31</f>
        <v>20916.110297314037</v>
      </c>
      <c r="T23" s="106">
        <f>SUMIF('Aanv. subsidie + ledenlening'!$Z$19:$Z$28,"&gt;"&amp;'Aannames over draagkracht'!$D$36)*12-('Aannames over draagkracht'!$D$36*12*COUNTIF('Aanv. subsidie + ledenlening'!$Z$19:$Z$28,"&gt;"&amp;'Aannames over draagkracht'!$D$36))
-('Aannames over draagkracht'!$D$15*COUNTIF(Ledenlening!$H$19:$H$28,"&gt;"&amp;'Aannames over draagkracht'!$D$15))</f>
        <v>14928.710297314039</v>
      </c>
      <c r="U23" s="181" t="str" cm="1">
        <f t="array" ref="U23">_xlfn.IFNA(INDEX('Aanv. subsidie + ledenlening'!$U$19:$U$28,MATCH(TRUE,'Aanv. subsidie + ledenlening'!$Z$19:$Z$28&gt;'Aannames over draagkracht'!$D$36, 0)),"Voldoende")</f>
        <v>jaar 1</v>
      </c>
    </row>
    <row r="24" spans="2:30" ht="17" customHeight="1" x14ac:dyDescent="0.2"/>
    <row r="25" spans="2:30" ht="17" customHeight="1" x14ac:dyDescent="0.2"/>
    <row r="26" spans="2:30" ht="17" customHeight="1" thickBot="1" x14ac:dyDescent="0.25"/>
    <row r="27" spans="2:30" ht="17" customHeight="1" thickBot="1" x14ac:dyDescent="0.25">
      <c r="C27" s="210" t="s">
        <v>52</v>
      </c>
      <c r="D27" s="211"/>
      <c r="E27" s="211"/>
      <c r="F27" s="211"/>
      <c r="G27" s="211"/>
      <c r="H27" s="211"/>
      <c r="I27" s="211"/>
      <c r="J27" s="211"/>
      <c r="K27" s="211"/>
      <c r="L27" s="211"/>
      <c r="M27" s="211"/>
      <c r="N27" s="211"/>
      <c r="O27" s="211"/>
      <c r="P27" s="211"/>
      <c r="Q27" s="211"/>
      <c r="R27" s="211"/>
      <c r="S27" s="211"/>
      <c r="T27" s="211"/>
      <c r="U27" s="212"/>
    </row>
    <row r="28" spans="2:30" ht="17" customHeight="1" thickBot="1" x14ac:dyDescent="0.25">
      <c r="G28" s="35"/>
      <c r="H28" s="35"/>
      <c r="I28" s="35"/>
      <c r="J28" s="35"/>
      <c r="K28" s="35"/>
      <c r="L28" s="35"/>
      <c r="M28" s="35"/>
      <c r="N28" s="35"/>
    </row>
    <row r="29" spans="2:30" ht="17" customHeight="1" thickBot="1" x14ac:dyDescent="0.25">
      <c r="C29" s="204" t="s">
        <v>137</v>
      </c>
      <c r="D29" s="205"/>
      <c r="E29" s="206"/>
      <c r="F29" s="66"/>
      <c r="G29" s="204" t="s">
        <v>90</v>
      </c>
      <c r="H29" s="205"/>
      <c r="I29" s="206"/>
      <c r="J29" s="66"/>
      <c r="K29" s="216" t="s">
        <v>89</v>
      </c>
      <c r="L29" s="217"/>
      <c r="M29" s="206"/>
      <c r="N29" s="66"/>
      <c r="O29" s="218" t="s">
        <v>59</v>
      </c>
      <c r="P29" s="219"/>
      <c r="Q29" s="220"/>
      <c r="R29" s="35"/>
      <c r="S29" s="192" t="str">
        <f>Input!$C$11*100&amp;"% (Aanvullende subsidie + Ledenlening)"</f>
        <v>130% (Aanvullende subsidie + Ledenlening)</v>
      </c>
      <c r="T29" s="193"/>
      <c r="U29" s="194"/>
    </row>
    <row r="30" spans="2:30" ht="17" customHeight="1" thickBot="1" x14ac:dyDescent="0.25">
      <c r="B30" s="66"/>
      <c r="C30" s="102" t="s">
        <v>49</v>
      </c>
      <c r="D30" s="102" t="s">
        <v>96</v>
      </c>
      <c r="E30" s="110" t="s">
        <v>78</v>
      </c>
      <c r="F30" s="137"/>
      <c r="G30" s="102" t="s">
        <v>49</v>
      </c>
      <c r="H30" s="102" t="s">
        <v>96</v>
      </c>
      <c r="I30" s="110" t="s">
        <v>48</v>
      </c>
      <c r="J30" s="137"/>
      <c r="K30" s="141" t="s">
        <v>49</v>
      </c>
      <c r="L30" s="102" t="s">
        <v>96</v>
      </c>
      <c r="M30" s="68" t="s">
        <v>48</v>
      </c>
      <c r="N30" s="137"/>
      <c r="O30" s="141" t="s">
        <v>49</v>
      </c>
      <c r="P30" s="102" t="s">
        <v>96</v>
      </c>
      <c r="Q30" s="103" t="s">
        <v>48</v>
      </c>
      <c r="R30" s="140"/>
      <c r="S30" s="102" t="s">
        <v>49</v>
      </c>
      <c r="T30" s="102" t="s">
        <v>96</v>
      </c>
      <c r="U30" s="128" t="s">
        <v>48</v>
      </c>
    </row>
    <row r="31" spans="2:30" ht="17" customHeight="1" thickBot="1" x14ac:dyDescent="0.25">
      <c r="B31" s="67">
        <f>Input!F$5</f>
        <v>25000</v>
      </c>
      <c r="C31" s="105">
        <f>'Aanv. subsidie + ledenlening'!J$31</f>
        <v>2003.6611737324231</v>
      </c>
      <c r="D31" s="104">
        <f>SUMIF('Aanv. subsidie + ledenlening'!$J$19:$J$28,"&gt;"&amp;'Aannames over draagkracht'!$D$10)*12-('Aannames over draagkracht'!$D$10*12*COUNTIF('Aanv. subsidie + ledenlening'!$J$19:$J$28,"&gt;"&amp;'Aannames over draagkracht'!$D$10))
-('Aannames over draagkracht'!$D$15*COUNTIF(Ledenlening!$H$19:$H$28,"&gt;"&amp;'Aannames over draagkracht'!$D$15))</f>
        <v>2003.6611737324231</v>
      </c>
      <c r="E31" s="124" t="str" cm="1">
        <f t="array" ref="E31">_xlfn.IFNA(INDEX('Aanv. subsidie + ledenlening'!$E$19:$E$28, MATCH(TRUE, 'Aanv. subsidie + ledenlening'!$J$19:$J$28&gt;'Aannames over draagkracht'!$D$10, 0)),"Voldoende")</f>
        <v>jaar 5</v>
      </c>
      <c r="F31" s="138"/>
      <c r="G31" s="104">
        <f>Ledenlening!$H$31</f>
        <v>2003.6611737324231</v>
      </c>
      <c r="H31" s="104">
        <f>SUMIF(Ledenlening!$H$19:$H$28,"&gt;"&amp;'Aannames over draagkracht'!$D$10)*12-('Aannames over draagkracht'!$D$10*12*COUNTIF(Ledenlening!$H$19:$H$28,"&gt;"&amp;'Aannames over draagkracht'!$D$10))
-('Aannames over draagkracht'!$D$15*COUNTIF(Ledenlening!$H$19:$H$28,"&gt;"&amp;'Aannames over draagkracht'!$D$15))</f>
        <v>2003.6611737324231</v>
      </c>
      <c r="I31" s="82" t="str" cm="1">
        <f t="array" ref="I31">_xlfn.IFNA(INDEX(Ledenlening!$E$19:$E$28, MATCH(TRUE, Ledenlening!$G$19:$G$28&gt;'Aannames over draagkracht'!$D$10, 0)),"Voldoende")</f>
        <v>jaar 5</v>
      </c>
      <c r="J31" s="131"/>
      <c r="K31" s="104">
        <f>Ledenlening!$H$31</f>
        <v>2003.6611737324231</v>
      </c>
      <c r="L31" s="104">
        <f>SUMIF(Ledenlening!$H$19:$H$28,"&gt;"&amp;'Aannames over draagkracht'!$D$17)*12-('Aannames over draagkracht'!$D$17*12*COUNTIF(Ledenlening!$H$19:$H$28,"&gt;"&amp;'Aannames over draagkracht'!$D$17))
-('Aannames over draagkracht'!$D$15*COUNTIF(Ledenlening!$H$19:$H$28,"&gt;"&amp;'Aannames over draagkracht'!$D$15))</f>
        <v>0</v>
      </c>
      <c r="M31" s="82" t="str" cm="1">
        <f t="array" ref="M31">_xlfn.IFNA(INDEX(Ledenlening!$E$19:$E$28, MATCH(TRUE, Ledenlening!$G$19:$G$28&gt;'Aannames over draagkracht'!$D$17, 0)),"Voldoende")</f>
        <v>Voldoende</v>
      </c>
      <c r="N31" s="131"/>
      <c r="O31" s="104">
        <f>Overig!$G$29</f>
        <v>7399.1312146985219</v>
      </c>
      <c r="P31" s="104">
        <f>SUMIF(Overig!$G$17:$G$26,"&gt;"&amp;'Aannames over draagkracht'!$D$24)*12-('Aannames over draagkracht'!$D$24*12*COUNTIF(Overig!$G$17:$G$26,"&gt;"&amp;'Aannames over draagkracht'!$D$24))
-('Aannames over draagkracht'!$D$15*COUNTIF(Ledenlening!$H$19:$H$28,"&gt;"&amp;'Aannames over draagkracht'!$D$15))</f>
        <v>0</v>
      </c>
      <c r="Q31" s="82" t="str" cm="1">
        <f t="array" ref="Q31">_xlfn.IFNA(INDEX("Onvoldoende", MATCH(TRUE, Overig!$G$17:$G$26&gt;'Aannames over draagkracht'!$D$24, 0)),"Voldoende")</f>
        <v>Voldoende</v>
      </c>
      <c r="R31" s="131"/>
      <c r="S31" s="105">
        <f>'Aanv. subsidie + ledenlening'!J$31</f>
        <v>2003.6611737324231</v>
      </c>
      <c r="T31" s="104">
        <f>SUMIF('Aanv. subsidie + ledenlening'!$J$19:$J$28,"&gt;"&amp;'Aannames over draagkracht'!$D$37)*12-('Aannames over draagkracht'!$D$37*12*COUNTIF('Aanv. subsidie + ledenlening'!$J$19:$J$28,"&gt;"&amp;'Aannames over draagkracht'!$D$37))
-('Aannames over draagkracht'!$D$15*COUNTIF(Ledenlening!$H$19:$H$28,"&gt;"&amp;'Aannames over draagkracht'!$D$15))</f>
        <v>213.72630649874736</v>
      </c>
      <c r="U31" s="82" t="str" cm="1">
        <f t="array" ref="U31">_xlfn.IFNA(INDEX('Aanv. subsidie + ledenlening'!$E$19:$E$28,MATCH(TRUE,'Aanv. subsidie + ledenlening'!$J$19:$J$28&gt;'Aannames over draagkracht'!$D$37, 0)),"Voldoende")</f>
        <v>jaar 9</v>
      </c>
    </row>
    <row r="32" spans="2:30" ht="17" customHeight="1" thickBot="1" x14ac:dyDescent="0.25">
      <c r="B32" s="64">
        <f>Input!F$6</f>
        <v>50000</v>
      </c>
      <c r="C32" s="105">
        <f>'Aanv. subsidie + ledenlening'!R$31</f>
        <v>8907.620756006283</v>
      </c>
      <c r="D32" s="105">
        <f>SUMIF('Aanv. subsidie + ledenlening'!$R$19:$R$28,"&gt;"&amp;'Aannames over draagkracht'!$D$10)*12-('Aannames over draagkracht'!$D$10*12*COUNTIF('Aanv. subsidie + ledenlening'!$R$19:$R$28,"&gt;"&amp;'Aannames over draagkracht'!$D$10))
-('Aannames over draagkracht'!$D$15*COUNTIF(Ledenlening!$H$19:$H$28,"&gt;"&amp;'Aannames over draagkracht'!$D$15))</f>
        <v>8907.620756006283</v>
      </c>
      <c r="E32" s="125" t="str" cm="1">
        <f t="array" ref="E32">_xlfn.IFNA(INDEX('Aanv. subsidie + ledenlening'!$M$19:$M$28, MATCH(TRUE, 'Aanv. subsidie + ledenlening'!$R$19:$R$28&gt;'Aannames over draagkracht'!$D$10, 0)),"Voldoende")</f>
        <v>jaar 1</v>
      </c>
      <c r="F32" s="138"/>
      <c r="G32" s="105">
        <f>Ledenlening!$O$31</f>
        <v>8907.620756006283</v>
      </c>
      <c r="H32" s="105">
        <f>SUMIF(Ledenlening!$O$19:$O$28,"&gt;"&amp;'Aannames over draagkracht'!$D$10)*12-('Aannames over draagkracht'!$D$10*12*COUNTIF(Ledenlening!$O$19:$O$28,"&gt;"&amp;'Aannames over draagkracht'!$D$10))</f>
        <v>8907.620756006283</v>
      </c>
      <c r="I32" s="69" t="str" cm="1">
        <f t="array" ref="I32">_xlfn.IFNA(INDEX(Ledenlening!$L$19:$L$28,MATCH(TRUE, Ledenlening!$N$19:$N$28&gt;'Aannames over draagkracht'!$D$10, 0)),"Voldoende")</f>
        <v>jaar 1</v>
      </c>
      <c r="J32" s="131"/>
      <c r="K32" s="105">
        <f>Ledenlening!$O$31</f>
        <v>8907.620756006283</v>
      </c>
      <c r="L32" s="105">
        <f>SUMIF(Ledenlening!$O$19:$O$28,"&gt;"&amp;'Aannames over draagkracht'!$D$17)*12-('Aannames over draagkracht'!$D$17*12*COUNTIF(Ledenlening!$O$19:$O$28,"&gt;"&amp;'Aannames over draagkracht'!$D$17))</f>
        <v>0</v>
      </c>
      <c r="M32" s="69" t="str" cm="1">
        <f t="array" ref="M32">_xlfn.IFNA(INDEX(Ledenlening!$L$19:$L$28,MATCH(TRUE, Ledenlening!$N$19:$N$28&gt;'Aannames over draagkracht'!$D$17, 0)),"Voldoende")</f>
        <v>Voldoende</v>
      </c>
      <c r="N32" s="131"/>
      <c r="O32" s="105">
        <f>Overig!$N$29</f>
        <v>18807.620756006283</v>
      </c>
      <c r="P32" s="105">
        <f>SUMIF(Overig!$N$17:$N$26,"&gt;"&amp;'Aannames over draagkracht'!$D$24)*12-('Aannames over draagkracht'!$D$24*12*COUNTIF(Overig!$N$17:$N$26,"&gt;"&amp;'Aannames over draagkracht'!$D$24))
-('Aannames over draagkracht'!$D$15*COUNTIF(Ledenlening!$H$19:$H$28,"&gt;"&amp;'Aannames over draagkracht'!$D$15))</f>
        <v>0</v>
      </c>
      <c r="Q32" s="69" t="str" cm="1">
        <f t="array" ref="Q32">_xlfn.IFNA(INDEX("Onvoldoende", MATCH(TRUE, Overig!$N$17:$N$26&gt;'Aannames over draagkracht'!$D$24, 0)),"Voldoende")</f>
        <v>Voldoende</v>
      </c>
      <c r="R32" s="131"/>
      <c r="S32" s="105">
        <f>'Aanv. subsidie + ledenlening'!R$31</f>
        <v>8907.620756006283</v>
      </c>
      <c r="T32" s="105">
        <f>SUMIF('Aanv. subsidie + ledenlening'!$R$19:$R$28,"&gt;"&amp;'Aannames over draagkracht'!$D$37)*12-('Aannames over draagkracht'!$D$37*12*COUNTIF('Aanv. subsidie + ledenlening'!$R$19:$R$28,"&gt;"&amp;'Aannames over draagkracht'!$D$37))
-('Aannames over draagkracht'!$D$15*COUNTIF(Ledenlening!$H$19:$H$28,"&gt;"&amp;'Aannames over draagkracht'!$D$15))</f>
        <v>4911.8935292043934</v>
      </c>
      <c r="U32" s="82" t="str" cm="1">
        <f t="array" ref="U32">_xlfn.IFNA(INDEX('Aanv. subsidie + ledenlening'!$M$19:$M$28,MATCH(TRUE,'Aanv. subsidie + ledenlening'!$R$19:$R$28&gt;'Aannames over draagkracht'!$D$37, 0)),"Voldoende")</f>
        <v>jaar 4</v>
      </c>
    </row>
    <row r="33" spans="2:21" ht="17" customHeight="1" thickBot="1" x14ac:dyDescent="0.25">
      <c r="B33" s="65">
        <f>Input!F$7</f>
        <v>75000</v>
      </c>
      <c r="C33" s="106">
        <f>'Aanv. subsidie + ledenlening'!Z$31</f>
        <v>20916.110297314037</v>
      </c>
      <c r="D33" s="106">
        <f>SUMIF('Aanv. subsidie + ledenlening'!$Z$19:$Z$28,"&gt;"&amp;'Aannames over draagkracht'!$D$10)*12-('Aannames over draagkracht'!$D$10*12*COUNTIF('Aanv. subsidie + ledenlening'!$Z$19:$Z$28,"&gt;"&amp;'Aannames over draagkracht'!$D$10))
-('Aannames over draagkracht'!$D$15*COUNTIF(Ledenlening!$H$19:$H$28,"&gt;"&amp;'Aannames over draagkracht'!$D$15))</f>
        <v>20916.110297314037</v>
      </c>
      <c r="E33" s="126" t="str" cm="1">
        <f t="array" ref="E33">_xlfn.IFNA(INDEX('Aanv. subsidie + ledenlening'!$U$19:$U$28, MATCH(TRUE, 'Aanv. subsidie + ledenlening'!$Z$19:$Z$28&gt;'Aannames over draagkracht'!$D$10, 0)),"Voldoende")</f>
        <v>jaar 1</v>
      </c>
      <c r="F33" s="138"/>
      <c r="G33" s="106">
        <f>Ledenlening!$V$31</f>
        <v>20916.110297314037</v>
      </c>
      <c r="H33" s="106">
        <f>SUMIF(Ledenlening!$V$19:$V$28,"&gt;"&amp;'Aannames over draagkracht'!$D$10)*12-('Aannames over draagkracht'!$D$10*12*COUNTIF(Ledenlening!$V$19:$V$28,"&gt;"&amp;'Aannames over draagkracht'!$D$10))</f>
        <v>20916.110297314037</v>
      </c>
      <c r="I33" s="70" t="str" cm="1">
        <f t="array" ref="I33">_xlfn.IFNA(INDEX(Ledenlening!$S$19:$S$28, MATCH(TRUE, Ledenlening!$U$19:$U$28&gt;'Aannames over draagkracht'!$D$10, 0)),"Voldoende")</f>
        <v>jaar 1</v>
      </c>
      <c r="J33" s="131"/>
      <c r="K33" s="106">
        <f>Ledenlening!$V$31</f>
        <v>20916.110297314037</v>
      </c>
      <c r="L33" s="106">
        <f>SUMIF(Ledenlening!$V$19:$V$28,"&gt;"&amp;'Aannames over draagkracht'!$D$17)*12-('Aannames over draagkracht'!$D$17*12*COUNTIF(Ledenlening!$V$19:$V$28,"&gt;"&amp;'Aannames over draagkracht'!$D$17))</f>
        <v>1345.1841189256174</v>
      </c>
      <c r="M33" s="70" t="str" cm="1">
        <f t="array" ref="M33">_xlfn.IFNA(INDEX(Ledenlening!$S$19:$S$28, MATCH(TRUE, Ledenlening!$U$19:$U$28&gt;'Aannames over draagkracht'!$D$17, 0)),"Voldoende")</f>
        <v>jaar 7</v>
      </c>
      <c r="N33" s="131"/>
      <c r="O33" s="106">
        <f>Overig!$U$29</f>
        <v>30816.110297314044</v>
      </c>
      <c r="P33" s="106">
        <f>SUMIF(Overig!$U$17:$U$26,"&gt;"&amp;'Aannames over draagkracht'!$D$24)*12-('Aannames over draagkracht'!$D$24*12*COUNTIF(Overig!$U$17:$U$26,"&gt;"&amp;'Aannames over draagkracht'!$D$24))
-('Aannames over draagkracht'!$D$15*COUNTIF(Ledenlening!$H$19:$H$28,"&gt;"&amp;'Aannames over draagkracht'!$D$15))</f>
        <v>0</v>
      </c>
      <c r="Q33" s="70" t="str" cm="1">
        <f t="array" ref="Q33">_xlfn.IFNA(INDEX("Onvoldoende", MATCH(TRUE, Overig!$U$17:$U$26&gt;'Aannames over draagkracht'!$D$24, 0)),"Voldoende")</f>
        <v>Voldoende</v>
      </c>
      <c r="R33" s="131"/>
      <c r="S33" s="106">
        <f>'Aanv. subsidie + ledenlening'!Z$31</f>
        <v>20916.110297314037</v>
      </c>
      <c r="T33" s="106">
        <f>SUMIF('Aanv. subsidie + ledenlening'!$Z$19:$Z$28,"&gt;"&amp;'Aannames over draagkracht'!$D$37)*12-('Aannames over draagkracht'!$D$37*12*COUNTIF('Aanv. subsidie + ledenlening'!$Z$19:$Z$28,"&gt;"&amp;'Aannames over draagkracht'!$D$37))
-('Aannames over draagkracht'!$D$15*COUNTIF(Ledenlening!$H$19:$H$28,"&gt;"&amp;'Aannames over draagkracht'!$D$15))</f>
        <v>16325.480297314032</v>
      </c>
      <c r="U33" s="181" t="str" cm="1">
        <f t="array" ref="U33">_xlfn.IFNA(INDEX('Aanv. subsidie + ledenlening'!$U$19:$U$28,MATCH(TRUE,'Aanv. subsidie + ledenlening'!$Z$19:$Z$28&gt;'Aannames over draagkracht'!$D$37, 0)),"Voldoende")</f>
        <v>jaar 1</v>
      </c>
    </row>
    <row r="34" spans="2:21" ht="17" customHeight="1" x14ac:dyDescent="0.2"/>
    <row r="35" spans="2:21" ht="17" customHeight="1" x14ac:dyDescent="0.2"/>
    <row r="36" spans="2:21" ht="17" customHeight="1" thickBot="1" x14ac:dyDescent="0.25"/>
    <row r="37" spans="2:21" ht="17" customHeight="1" thickBot="1" x14ac:dyDescent="0.25">
      <c r="C37" s="210" t="s">
        <v>53</v>
      </c>
      <c r="D37" s="211"/>
      <c r="E37" s="211"/>
      <c r="F37" s="211"/>
      <c r="G37" s="211"/>
      <c r="H37" s="211"/>
      <c r="I37" s="211"/>
      <c r="J37" s="211"/>
      <c r="K37" s="211"/>
      <c r="L37" s="211"/>
      <c r="M37" s="211"/>
      <c r="N37" s="211"/>
      <c r="O37" s="211"/>
      <c r="P37" s="211"/>
      <c r="Q37" s="211"/>
      <c r="R37" s="211"/>
      <c r="S37" s="211"/>
      <c r="T37" s="211"/>
      <c r="U37" s="212"/>
    </row>
    <row r="38" spans="2:21" ht="17" customHeight="1" thickBot="1" x14ac:dyDescent="0.25">
      <c r="G38" s="35"/>
      <c r="H38" s="35"/>
      <c r="I38" s="35"/>
      <c r="J38" s="35"/>
      <c r="K38" s="35"/>
      <c r="L38" s="35"/>
      <c r="M38" s="35"/>
      <c r="N38" s="35"/>
    </row>
    <row r="39" spans="2:21" ht="17" customHeight="1" thickBot="1" x14ac:dyDescent="0.25">
      <c r="C39" s="204" t="s">
        <v>137</v>
      </c>
      <c r="D39" s="205"/>
      <c r="E39" s="206"/>
      <c r="F39" s="66"/>
      <c r="G39" s="204" t="s">
        <v>90</v>
      </c>
      <c r="H39" s="205"/>
      <c r="I39" s="206"/>
      <c r="J39" s="66"/>
      <c r="K39" s="216" t="s">
        <v>89</v>
      </c>
      <c r="L39" s="217"/>
      <c r="M39" s="206"/>
      <c r="N39" s="66"/>
      <c r="O39" s="218" t="s">
        <v>59</v>
      </c>
      <c r="P39" s="219"/>
      <c r="Q39" s="220"/>
      <c r="R39" s="35"/>
      <c r="S39" s="192" t="str">
        <f>Input!$C$11*100&amp;"% (Aanvullende subsidie + Ledenlening)"</f>
        <v>130% (Aanvullende subsidie + Ledenlening)</v>
      </c>
      <c r="T39" s="193"/>
      <c r="U39" s="194"/>
    </row>
    <row r="40" spans="2:21" ht="17" customHeight="1" thickBot="1" x14ac:dyDescent="0.25">
      <c r="B40" s="66"/>
      <c r="C40" s="102" t="s">
        <v>49</v>
      </c>
      <c r="D40" s="102" t="s">
        <v>96</v>
      </c>
      <c r="E40" s="110" t="s">
        <v>78</v>
      </c>
      <c r="F40" s="137"/>
      <c r="G40" s="102" t="s">
        <v>49</v>
      </c>
      <c r="H40" s="102" t="s">
        <v>96</v>
      </c>
      <c r="I40" s="110" t="s">
        <v>48</v>
      </c>
      <c r="J40" s="137"/>
      <c r="K40" s="141" t="s">
        <v>49</v>
      </c>
      <c r="L40" s="102" t="s">
        <v>96</v>
      </c>
      <c r="M40" s="68" t="s">
        <v>48</v>
      </c>
      <c r="N40" s="137"/>
      <c r="O40" s="141" t="s">
        <v>49</v>
      </c>
      <c r="P40" s="102" t="s">
        <v>96</v>
      </c>
      <c r="Q40" s="103" t="s">
        <v>48</v>
      </c>
      <c r="R40" s="140"/>
      <c r="S40" s="102" t="s">
        <v>49</v>
      </c>
      <c r="T40" s="102" t="s">
        <v>96</v>
      </c>
      <c r="U40" s="128" t="s">
        <v>48</v>
      </c>
    </row>
    <row r="41" spans="2:21" ht="17" customHeight="1" thickBot="1" x14ac:dyDescent="0.25">
      <c r="B41" s="67">
        <f>Input!F$5</f>
        <v>25000</v>
      </c>
      <c r="C41" s="105">
        <f>'Aanv. subsidie + ledenlening'!J$31</f>
        <v>2003.6611737324231</v>
      </c>
      <c r="D41" s="104">
        <f>SUMIF('Aanv. subsidie + ledenlening'!$J$19:$J$28,"&gt;"&amp;'Aannames over draagkracht'!$D$11)*12-('Aannames over draagkracht'!$D$11*12*COUNTIF('Aanv. subsidie + ledenlening'!$J$19:$J$28,"&gt;"&amp;'Aannames over draagkracht'!$D$11))
-('Aannames over draagkracht'!$D$15*COUNTIF(Ledenlening!$H$19:$H$28,"&gt;"&amp;'Aannames over draagkracht'!$D$15))</f>
        <v>2003.6611737324231</v>
      </c>
      <c r="E41" s="124" t="str" cm="1">
        <f t="array" ref="E41">_xlfn.IFNA(INDEX('Aanv. subsidie + ledenlening'!$E$19:$E$28, MATCH(TRUE, 'Aanv. subsidie + ledenlening'!$J$19:$J$28&gt;'Aannames over draagkracht'!$D$10, 0)),"Voldoende")</f>
        <v>jaar 5</v>
      </c>
      <c r="F41" s="138"/>
      <c r="G41" s="104">
        <f>Ledenlening!$H$31</f>
        <v>2003.6611737324231</v>
      </c>
      <c r="H41" s="104">
        <f>SUMIF(Ledenlening!$H$19:$H$28,"&gt;"&amp;'Aannames over draagkracht'!$D$11)*12-('Aannames over draagkracht'!$D$11*12*COUNTIF(Ledenlening!$H$19:$H$28,"&gt;"&amp;'Aannames over draagkracht'!$D$11))
-('Aannames over draagkracht'!$D$15*COUNTIF(Ledenlening!$H$19:$H$28,"&gt;"&amp;'Aannames over draagkracht'!$D$15))</f>
        <v>2003.6611737324231</v>
      </c>
      <c r="I41" s="82" t="str" cm="1">
        <f t="array" ref="I41">_xlfn.IFNA(INDEX(Ledenlening!$E$19:$E$28, MATCH(TRUE, Ledenlening!$G$19:$G$28&gt;'Aannames over draagkracht'!$D$11, 0)),"Voldoende")</f>
        <v>jaar 5</v>
      </c>
      <c r="J41" s="131"/>
      <c r="K41" s="104">
        <f>Ledenlening!$H$31</f>
        <v>2003.6611737324231</v>
      </c>
      <c r="L41" s="104">
        <f>SUMIF(Ledenlening!$H$19:$H$28,"&gt;"&amp;'Aannames over draagkracht'!$D$18)*12-('Aannames over draagkracht'!$D$18*12*COUNTIF(Ledenlening!$H$19:$H$28,"&gt;"&amp;'Aannames over draagkracht'!$D$18))
-('Aannames over draagkracht'!$D$15*COUNTIF(Ledenlening!$H$19:$H$28,"&gt;"&amp;'Aannames over draagkracht'!$D$15))</f>
        <v>0</v>
      </c>
      <c r="M41" s="82" t="str" cm="1">
        <f t="array" ref="M41">_xlfn.IFNA(INDEX(Ledenlening!$E$19:$E$28, MATCH(TRUE, Ledenlening!$G$19:$G$28&gt;'Aannames over draagkracht'!$D$18, 0)),"Voldoende")</f>
        <v>Voldoende</v>
      </c>
      <c r="N41" s="131"/>
      <c r="O41" s="104">
        <f>Overig!$G$29</f>
        <v>7399.1312146985219</v>
      </c>
      <c r="P41" s="104">
        <f>SUMIF(Overig!$G$17:$G$26,"&gt;"&amp;'Aannames over draagkracht'!$D$25)*12-('Aannames over draagkracht'!$D$25*12*COUNTIF(Overig!$G$17:$G$26,"&gt;"&amp;'Aannames over draagkracht'!$D$25))
-('Aannames over draagkracht'!$D$15*COUNTIF(Ledenlening!$H$19:$H$28,"&gt;"&amp;'Aannames over draagkracht'!$D$15))</f>
        <v>0</v>
      </c>
      <c r="Q41" s="82" t="str" cm="1">
        <f t="array" ref="Q41">_xlfn.IFNA(INDEX("Onvoldoende", MATCH(TRUE, Overig!$G$17:$G$26&gt;'Aannames over draagkracht'!$D$25, 0)),"Voldoende")</f>
        <v>Voldoende</v>
      </c>
      <c r="R41" s="131"/>
      <c r="S41" s="105">
        <f>'Aanv. subsidie + ledenlening'!J$31</f>
        <v>2003.6611737324231</v>
      </c>
      <c r="T41" s="104">
        <f>SUMIF('Aanv. subsidie + ledenlening'!$J$19:$J$28,"&gt;"&amp;'Aannames over draagkracht'!$D$38)*12-('Aannames over draagkracht'!$D$38*12*COUNTIF('Aanv. subsidie + ledenlening'!$J$19:$J$28,"&gt;"&amp;'Aannames over draagkracht'!$D$38))
-('Aannames over draagkracht'!$D$15*COUNTIF(Ledenlening!$H$19:$H$28,"&gt;"&amp;'Aannames over draagkracht'!$D$15))</f>
        <v>0</v>
      </c>
      <c r="U41" s="82" t="str" cm="1">
        <f t="array" ref="U41">_xlfn.IFNA(INDEX('Aanv. subsidie + ledenlening'!$E$19:$E$28,MATCH(TRUE,'Aanv. subsidie + ledenlening'!$J$19:$J$28&gt;'Aannames over draagkracht'!$D$38, 0)),"Voldoende")</f>
        <v>Voldoende</v>
      </c>
    </row>
    <row r="42" spans="2:21" ht="17" customHeight="1" thickBot="1" x14ac:dyDescent="0.25">
      <c r="B42" s="64">
        <f>Input!F$6</f>
        <v>50000</v>
      </c>
      <c r="C42" s="105">
        <f>'Aanv. subsidie + ledenlening'!R$31</f>
        <v>8907.620756006283</v>
      </c>
      <c r="D42" s="105">
        <f>SUMIF('Aanv. subsidie + ledenlening'!$R$19:$R$28,"&gt;"&amp;'Aannames over draagkracht'!$D$10)*12-('Aannames over draagkracht'!$D$10*12*COUNTIF('Aanv. subsidie + ledenlening'!$R$19:$R$28,"&gt;"&amp;'Aannames over draagkracht'!$D$10))
-('Aannames over draagkracht'!$D$15*COUNTIF(Ledenlening!$H$19:$H$28,"&gt;"&amp;'Aannames over draagkracht'!$D$15))</f>
        <v>8907.620756006283</v>
      </c>
      <c r="E42" s="125" t="str" cm="1">
        <f t="array" ref="E42">_xlfn.IFNA(INDEX('Aanv. subsidie + ledenlening'!$M$19:$M$28, MATCH(TRUE, 'Aanv. subsidie + ledenlening'!$R$19:$R$28&gt;'Aannames over draagkracht'!$D$10, 0)),"Voldoende")</f>
        <v>jaar 1</v>
      </c>
      <c r="F42" s="138"/>
      <c r="G42" s="105">
        <f>Ledenlening!$O$31</f>
        <v>8907.620756006283</v>
      </c>
      <c r="H42" s="105">
        <f>SUMIF(Ledenlening!$O$19:$O$28,"&gt;"&amp;'Aannames over draagkracht'!$D$11)*12-('Aannames over draagkracht'!$D$11*12*COUNTIF(Ledenlening!$O$19:$O$28,"&gt;"&amp;'Aannames over draagkracht'!$D$11))</f>
        <v>8907.620756006283</v>
      </c>
      <c r="I42" s="69" t="str" cm="1">
        <f t="array" ref="I42">_xlfn.IFNA(INDEX(Ledenlening!$L$19:$L$28,MATCH(TRUE, Ledenlening!$N$19:$N$28&gt;'Aannames over draagkracht'!$D$11, 0)),"Voldoende")</f>
        <v>jaar 1</v>
      </c>
      <c r="J42" s="131"/>
      <c r="K42" s="105">
        <f>Ledenlening!$O$31</f>
        <v>8907.620756006283</v>
      </c>
      <c r="L42" s="105">
        <f>SUMIF(Ledenlening!$O$19:$O$28,"&gt;"&amp;'Aannames over draagkracht'!$D$18)*12-('Aannames over draagkracht'!$D$18*12*COUNTIF(Ledenlening!$O$19:$O$28,"&gt;"&amp;'Aannames over draagkracht'!$D$18))</f>
        <v>0</v>
      </c>
      <c r="M42" s="69" t="str" cm="1">
        <f t="array" ref="M42">_xlfn.IFNA(INDEX(Ledenlening!$L$19:$L$28,MATCH(TRUE, Ledenlening!$N$19:$N$28&gt;'Aannames over draagkracht'!$D$18, 0)),"Voldoende")</f>
        <v>Voldoende</v>
      </c>
      <c r="N42" s="131"/>
      <c r="O42" s="105">
        <f>Overig!$N$29</f>
        <v>18807.620756006283</v>
      </c>
      <c r="P42" s="105">
        <f>SUMIF(Overig!$N$17:$N$26,"&gt;"&amp;'Aannames over draagkracht'!$D$25)*12-('Aannames over draagkracht'!$D$25*12*COUNTIF(Overig!$N$17:$N$26,"&gt;"&amp;'Aannames over draagkracht'!$D$25))
-('Aannames over draagkracht'!$D$15*COUNTIF(Ledenlening!$H$19:$H$28,"&gt;"&amp;'Aannames over draagkracht'!$D$15))</f>
        <v>0</v>
      </c>
      <c r="Q42" s="69" t="str" cm="1">
        <f t="array" ref="Q42">_xlfn.IFNA(INDEX("Onvoldoende", MATCH(TRUE, Overig!$N$17:$N$26&gt;'Aannames over draagkracht'!$D$25, 0)),"Voldoende")</f>
        <v>Voldoende</v>
      </c>
      <c r="R42" s="131"/>
      <c r="S42" s="105">
        <f>'Aanv. subsidie + ledenlening'!R$31</f>
        <v>8907.620756006283</v>
      </c>
      <c r="T42" s="105">
        <f>SUMIF('Aanv. subsidie + ledenlening'!$R$19:$R$28,"&gt;"&amp;'Aannames over draagkracht'!$D$38)*12-('Aannames over draagkracht'!$D$38*12*COUNTIF('Aanv. subsidie + ledenlening'!$R$19:$R$28,"&gt;"&amp;'Aannames over draagkracht'!$D$38))
-('Aannames over draagkracht'!$D$15*COUNTIF(Ledenlening!$H$19:$H$28,"&gt;"&amp;'Aannames over draagkracht'!$D$15))</f>
        <v>3733.6084536037615</v>
      </c>
      <c r="U42" s="82" t="str" cm="1">
        <f t="array" ref="U42">_xlfn.IFNA(INDEX('Aanv. subsidie + ledenlening'!$M$19:$M$28,MATCH(TRUE,'Aanv. subsidie + ledenlening'!$R$19:$R$28&gt;'Aannames over draagkracht'!$D$38, 0)),"Voldoende")</f>
        <v>jaar 5</v>
      </c>
    </row>
    <row r="43" spans="2:21" ht="17" customHeight="1" thickBot="1" x14ac:dyDescent="0.25">
      <c r="B43" s="65">
        <f>Input!F$7</f>
        <v>75000</v>
      </c>
      <c r="C43" s="106">
        <f>'Aanv. subsidie + ledenlening'!Z$31</f>
        <v>20916.110297314037</v>
      </c>
      <c r="D43" s="106">
        <f>SUMIF('Aanv. subsidie + ledenlening'!$Z$19:$Z$28,"&gt;"&amp;'Aannames over draagkracht'!$D$10)*12-('Aannames over draagkracht'!$D$10*12*COUNTIF('Aanv. subsidie + ledenlening'!$Z$19:$Z$28,"&gt;"&amp;'Aannames over draagkracht'!$D$10))
-('Aannames over draagkracht'!$D$15*COUNTIF(Ledenlening!$H$19:$H$28,"&gt;"&amp;'Aannames over draagkracht'!$D$15))</f>
        <v>20916.110297314037</v>
      </c>
      <c r="E43" s="126" t="str" cm="1">
        <f t="array" ref="E43">_xlfn.IFNA(INDEX('Aanv. subsidie + ledenlening'!$U$19:$U$28, MATCH(TRUE, 'Aanv. subsidie + ledenlening'!$Z$19:$Z$28&gt;'Aannames over draagkracht'!$D$10, 0)),"Voldoende")</f>
        <v>jaar 1</v>
      </c>
      <c r="F43" s="138"/>
      <c r="G43" s="106">
        <f>Ledenlening!$V$31</f>
        <v>20916.110297314037</v>
      </c>
      <c r="H43" s="106">
        <f>SUMIF(Ledenlening!$V$19:$V$28,"&gt;"&amp;'Aannames over draagkracht'!$D$11)*12-('Aannames over draagkracht'!$D$11*12*COUNTIF(Ledenlening!$V$19:$V$28,"&gt;"&amp;'Aannames over draagkracht'!$D$11))</f>
        <v>20916.110297314037</v>
      </c>
      <c r="I43" s="70" t="str" cm="1">
        <f t="array" ref="I43">_xlfn.IFNA(INDEX(Ledenlening!$S$19:$S$28, MATCH(TRUE, Ledenlening!$U$19:$U$28&gt;'Aannames over draagkracht'!$D$11, 0)),"Voldoende")</f>
        <v>jaar 1</v>
      </c>
      <c r="J43" s="131"/>
      <c r="K43" s="106">
        <f>Ledenlening!$V$31</f>
        <v>20916.110297314037</v>
      </c>
      <c r="L43" s="106">
        <f>SUMIF(Ledenlening!$V$19:$V$28,"&gt;"&amp;'Aannames over draagkracht'!$D$18)*12-('Aannames over draagkracht'!$D$18*12*COUNTIF(Ledenlening!$V$19:$V$28,"&gt;"&amp;'Aannames over draagkracht'!$D$18))</f>
        <v>0</v>
      </c>
      <c r="M43" s="70" t="str" cm="1">
        <f t="array" ref="M43">_xlfn.IFNA(INDEX(Ledenlening!$S$19:$S$28, MATCH(TRUE, Ledenlening!$U$19:$U$28&gt;'Aannames over draagkracht'!$D$18, 0)),"Voldoende")</f>
        <v>Voldoende</v>
      </c>
      <c r="N43" s="131"/>
      <c r="O43" s="106">
        <f>Overig!$U$29</f>
        <v>30816.110297314044</v>
      </c>
      <c r="P43" s="106">
        <f>SUMIF(Overig!$U$17:$U$26,"&gt;"&amp;'Aannames over draagkracht'!$D$25)*12-('Aannames over draagkracht'!$D$25*12*COUNTIF(Overig!$U$17:$U$26,"&gt;"&amp;'Aannames over draagkracht'!$D$25))
-('Aannames over draagkracht'!$D$15*COUNTIF(Ledenlening!$H$19:$H$28,"&gt;"&amp;'Aannames over draagkracht'!$D$15))</f>
        <v>0</v>
      </c>
      <c r="Q43" s="70" t="str" cm="1">
        <f t="array" ref="Q43">_xlfn.IFNA(INDEX("Onvoldoende", MATCH(TRUE, Overig!$U$17:$U$26&gt;'Aannames over draagkracht'!$D$25, 0)),"Voldoende")</f>
        <v>Voldoende</v>
      </c>
      <c r="R43" s="131"/>
      <c r="S43" s="106">
        <f>'Aanv. subsidie + ledenlening'!Z$31</f>
        <v>20916.110297314037</v>
      </c>
      <c r="T43" s="106">
        <f>SUMIF('Aanv. subsidie + ledenlening'!$Z$19:$Z$28,"&gt;"&amp;'Aannames over draagkracht'!$D$38)*12-('Aannames over draagkracht'!$D$38*12*COUNTIF('Aanv. subsidie + ledenlening'!$Z$19:$Z$28,"&gt;"&amp;'Aannames over draagkracht'!$D$38))
-('Aannames over draagkracht'!$D$15*COUNTIF(Ledenlening!$H$19:$H$28,"&gt;"&amp;'Aannames over draagkracht'!$D$15))</f>
        <v>14631.170297314022</v>
      </c>
      <c r="U43" s="181" t="str" cm="1">
        <f t="array" ref="U43">_xlfn.IFNA(INDEX('Aanv. subsidie + ledenlening'!$U$19:$U$28,MATCH(TRUE,'Aanv. subsidie + ledenlening'!$Z$19:$Z$28&gt;'Aannames over draagkracht'!$D$38, 0)),"Voldoende")</f>
        <v>jaar 1</v>
      </c>
    </row>
  </sheetData>
  <mergeCells count="27">
    <mergeCell ref="K39:M39"/>
    <mergeCell ref="O39:Q39"/>
    <mergeCell ref="G39:I39"/>
    <mergeCell ref="S39:U39"/>
    <mergeCell ref="AA16:AD16"/>
    <mergeCell ref="G29:I29"/>
    <mergeCell ref="C9:E9"/>
    <mergeCell ref="K9:M9"/>
    <mergeCell ref="O9:Q9"/>
    <mergeCell ref="S9:U9"/>
    <mergeCell ref="G9:I9"/>
    <mergeCell ref="C39:E39"/>
    <mergeCell ref="J2:N2"/>
    <mergeCell ref="C17:U17"/>
    <mergeCell ref="C7:U7"/>
    <mergeCell ref="C27:U27"/>
    <mergeCell ref="C37:U37"/>
    <mergeCell ref="G5:Q5"/>
    <mergeCell ref="S19:U19"/>
    <mergeCell ref="S29:U29"/>
    <mergeCell ref="C19:E19"/>
    <mergeCell ref="K19:M19"/>
    <mergeCell ref="O19:Q19"/>
    <mergeCell ref="G19:I19"/>
    <mergeCell ref="C29:E29"/>
    <mergeCell ref="K29:M29"/>
    <mergeCell ref="O29:Q29"/>
  </mergeCells>
  <conditionalFormatting sqref="I4:J4 M4:N4 Q4:R4 G5 I6:J6 M6:N6 Q6:R6 M8:N16 Q8:R16 E9:F13 M18:N26 Q18:R26 E19:F23 M28:N36 Q28:R36 E29:F33 M38:N1048576 Q38:R1048576 E39:F43">
    <cfRule type="cellIs" dxfId="131" priority="92" operator="equal">
      <formula>"Onvoldoende"</formula>
    </cfRule>
  </conditionalFormatting>
  <conditionalFormatting sqref="I4:J4 M4:N4 Q4:R4 I6:J6 M6:N6 Q6:R6 M8:N16 Q8:R16 E9:F13 M18:N26 Q18:R26 E19:F23 M28:N36 Q28:R36 E29:F33 M38:N1048576 Q38:R1048576 E39:F43">
    <cfRule type="containsText" dxfId="130" priority="94" operator="containsText" text="jaar">
      <formula>NOT(ISERROR(SEARCH("jaar",E4)))</formula>
    </cfRule>
    <cfRule type="containsText" dxfId="129" priority="93" operator="containsText" text="Voldoende">
      <formula>NOT(ISERROR(SEARCH("Voldoende",E4)))</formula>
    </cfRule>
  </conditionalFormatting>
  <conditionalFormatting sqref="I8:J16">
    <cfRule type="containsText" dxfId="128" priority="82" operator="containsText" text="jaar">
      <formula>NOT(ISERROR(SEARCH("jaar",I8)))</formula>
    </cfRule>
    <cfRule type="containsText" dxfId="127" priority="81" operator="containsText" text="Voldoende">
      <formula>NOT(ISERROR(SEARCH("Voldoende",I8)))</formula>
    </cfRule>
    <cfRule type="cellIs" dxfId="126" priority="80" operator="equal">
      <formula>"Onvoldoende"</formula>
    </cfRule>
  </conditionalFormatting>
  <conditionalFormatting sqref="I18:J26">
    <cfRule type="containsText" dxfId="125" priority="55" operator="containsText" text="jaar">
      <formula>NOT(ISERROR(SEARCH("jaar",I18)))</formula>
    </cfRule>
    <cfRule type="containsText" dxfId="124" priority="54" operator="containsText" text="Voldoende">
      <formula>NOT(ISERROR(SEARCH("Voldoende",I18)))</formula>
    </cfRule>
    <cfRule type="cellIs" dxfId="123" priority="53" operator="equal">
      <formula>"Onvoldoende"</formula>
    </cfRule>
  </conditionalFormatting>
  <conditionalFormatting sqref="I28:J36">
    <cfRule type="containsText" dxfId="122" priority="51" operator="containsText" text="Voldoende">
      <formula>NOT(ISERROR(SEARCH("Voldoende",I28)))</formula>
    </cfRule>
    <cfRule type="cellIs" dxfId="121" priority="50" operator="equal">
      <formula>"Onvoldoende"</formula>
    </cfRule>
    <cfRule type="containsText" dxfId="120" priority="52" operator="containsText" text="jaar">
      <formula>NOT(ISERROR(SEARCH("jaar",I28)))</formula>
    </cfRule>
  </conditionalFormatting>
  <conditionalFormatting sqref="I38:J1048576">
    <cfRule type="containsText" dxfId="119" priority="48" operator="containsText" text="Voldoende">
      <formula>NOT(ISERROR(SEARCH("Voldoende",I38)))</formula>
    </cfRule>
    <cfRule type="containsText" dxfId="118" priority="49" operator="containsText" text="jaar">
      <formula>NOT(ISERROR(SEARCH("jaar",I38)))</formula>
    </cfRule>
    <cfRule type="cellIs" dxfId="117" priority="47" operator="equal">
      <formula>"Onvoldoende"</formula>
    </cfRule>
  </conditionalFormatting>
  <conditionalFormatting sqref="U9:U13">
    <cfRule type="cellIs" dxfId="116" priority="74" operator="equal">
      <formula>"Onvoldoende"</formula>
    </cfRule>
    <cfRule type="containsText" dxfId="115" priority="75" operator="containsText" text="Voldoende">
      <formula>NOT(ISERROR(SEARCH("Voldoende",U9)))</formula>
    </cfRule>
    <cfRule type="containsText" dxfId="114" priority="76" operator="containsText" text="jaar">
      <formula>NOT(ISERROR(SEARCH("jaar",U9)))</formula>
    </cfRule>
  </conditionalFormatting>
  <conditionalFormatting sqref="U19:U23">
    <cfRule type="containsText" dxfId="113" priority="9" operator="containsText" text="jaar">
      <formula>NOT(ISERROR(SEARCH("jaar",U19)))</formula>
    </cfRule>
    <cfRule type="containsText" dxfId="112" priority="8" operator="containsText" text="Voldoende">
      <formula>NOT(ISERROR(SEARCH("Voldoende",U19)))</formula>
    </cfRule>
    <cfRule type="cellIs" dxfId="111" priority="7" operator="equal">
      <formula>"Onvoldoende"</formula>
    </cfRule>
  </conditionalFormatting>
  <conditionalFormatting sqref="U29:U33">
    <cfRule type="containsText" dxfId="110" priority="6" operator="containsText" text="jaar">
      <formula>NOT(ISERROR(SEARCH("jaar",U29)))</formula>
    </cfRule>
    <cfRule type="containsText" dxfId="109" priority="5" operator="containsText" text="Voldoende">
      <formula>NOT(ISERROR(SEARCH("Voldoende",U29)))</formula>
    </cfRule>
    <cfRule type="cellIs" dxfId="108" priority="4" operator="equal">
      <formula>"Onvoldoende"</formula>
    </cfRule>
  </conditionalFormatting>
  <conditionalFormatting sqref="U39:U43">
    <cfRule type="containsText" dxfId="107" priority="3" operator="containsText" text="jaar">
      <formula>NOT(ISERROR(SEARCH("jaar",U39)))</formula>
    </cfRule>
    <cfRule type="containsText" dxfId="106" priority="2" operator="containsText" text="Voldoende">
      <formula>NOT(ISERROR(SEARCH("Voldoende",U39)))</formula>
    </cfRule>
    <cfRule type="cellIs" dxfId="105" priority="1" operator="equal">
      <formula>"Onvoldoende"</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63A42-D7F8-5C4B-8B65-23B2F347E4A1}">
  <dimension ref="B1:U1048576"/>
  <sheetViews>
    <sheetView showGridLines="0" topLeftCell="C2" zoomScale="156" workbookViewId="0">
      <selection activeCell="S40" sqref="S40"/>
    </sheetView>
  </sheetViews>
  <sheetFormatPr baseColWidth="10" defaultRowHeight="15" x14ac:dyDescent="0.2"/>
  <cols>
    <col min="1" max="21" width="12.83203125" customWidth="1"/>
  </cols>
  <sheetData>
    <row r="1" spans="2:21" ht="17" customHeight="1" thickBot="1" x14ac:dyDescent="0.25"/>
    <row r="2" spans="2:21" s="153" customFormat="1" ht="32" customHeight="1" thickBot="1" x14ac:dyDescent="0.25">
      <c r="J2" s="222" t="s">
        <v>115</v>
      </c>
      <c r="K2" s="223"/>
      <c r="L2" s="223"/>
      <c r="M2" s="223"/>
      <c r="N2" s="224"/>
    </row>
    <row r="3" spans="2:21" ht="17" customHeight="1" x14ac:dyDescent="0.2"/>
    <row r="4" spans="2:21" ht="17" customHeight="1" thickBot="1" x14ac:dyDescent="0.25"/>
    <row r="5" spans="2:21" ht="17" customHeight="1" thickBot="1" x14ac:dyDescent="0.3">
      <c r="E5" s="53"/>
      <c r="F5" s="53"/>
      <c r="G5" s="213" t="s">
        <v>97</v>
      </c>
      <c r="H5" s="214"/>
      <c r="I5" s="214"/>
      <c r="J5" s="214"/>
      <c r="K5" s="214"/>
      <c r="L5" s="214"/>
      <c r="M5" s="214"/>
      <c r="N5" s="214"/>
      <c r="O5" s="214"/>
      <c r="P5" s="214"/>
      <c r="Q5" s="215"/>
      <c r="R5" s="139"/>
    </row>
    <row r="6" spans="2:21" ht="17" customHeight="1" thickBot="1" x14ac:dyDescent="0.25"/>
    <row r="7" spans="2:21" ht="17" customHeight="1" thickBot="1" x14ac:dyDescent="0.25">
      <c r="C7" s="210" t="s">
        <v>50</v>
      </c>
      <c r="D7" s="211"/>
      <c r="E7" s="211"/>
      <c r="F7" s="211"/>
      <c r="G7" s="211"/>
      <c r="H7" s="211"/>
      <c r="I7" s="211"/>
      <c r="J7" s="211"/>
      <c r="K7" s="211"/>
      <c r="L7" s="211"/>
      <c r="M7" s="211"/>
      <c r="N7" s="211"/>
      <c r="O7" s="211"/>
      <c r="P7" s="211"/>
      <c r="Q7" s="211"/>
      <c r="R7" s="211"/>
      <c r="S7" s="211"/>
      <c r="T7" s="211"/>
      <c r="U7" s="212"/>
    </row>
    <row r="8" spans="2:21" ht="17" customHeight="1" thickBot="1" x14ac:dyDescent="0.25">
      <c r="G8" s="35"/>
      <c r="H8" s="35"/>
      <c r="I8" s="35"/>
      <c r="J8" s="35"/>
      <c r="K8" s="35"/>
      <c r="L8" s="35"/>
      <c r="M8" s="35"/>
      <c r="N8" s="35"/>
    </row>
    <row r="9" spans="2:21" ht="17" customHeight="1" thickBot="1" x14ac:dyDescent="0.25">
      <c r="C9" s="204" t="s">
        <v>136</v>
      </c>
      <c r="D9" s="205"/>
      <c r="E9" s="206"/>
      <c r="F9" s="66"/>
      <c r="G9" s="204" t="s">
        <v>100</v>
      </c>
      <c r="H9" s="205"/>
      <c r="I9" s="206"/>
      <c r="J9" s="66"/>
      <c r="K9" s="225" t="s">
        <v>101</v>
      </c>
      <c r="L9" s="217"/>
      <c r="M9" s="206"/>
      <c r="N9" s="66"/>
      <c r="O9" s="216" t="s">
        <v>59</v>
      </c>
      <c r="P9" s="217"/>
      <c r="Q9" s="206"/>
      <c r="R9" s="66"/>
      <c r="S9" s="192" t="str">
        <f>Input!$C$11*100&amp;"% (Aanvullende subsidie)"</f>
        <v>130% (Aanvullende subsidie)</v>
      </c>
      <c r="T9" s="193"/>
      <c r="U9" s="226"/>
    </row>
    <row r="10" spans="2:21" ht="17" customHeight="1" thickBot="1" x14ac:dyDescent="0.25">
      <c r="C10" s="132" t="s">
        <v>49</v>
      </c>
      <c r="D10" s="136" t="s">
        <v>96</v>
      </c>
      <c r="E10" s="149" t="s">
        <v>48</v>
      </c>
      <c r="F10" s="137"/>
      <c r="G10" s="102" t="s">
        <v>49</v>
      </c>
      <c r="H10" s="128" t="s">
        <v>96</v>
      </c>
      <c r="I10" s="110" t="s">
        <v>48</v>
      </c>
      <c r="J10" s="137"/>
      <c r="K10" s="141" t="s">
        <v>49</v>
      </c>
      <c r="L10" s="68" t="s">
        <v>96</v>
      </c>
      <c r="M10" s="68" t="s">
        <v>48</v>
      </c>
      <c r="N10" s="137"/>
      <c r="O10" s="142" t="s">
        <v>49</v>
      </c>
      <c r="P10" s="102" t="s">
        <v>96</v>
      </c>
      <c r="Q10" s="103" t="s">
        <v>48</v>
      </c>
      <c r="R10" s="140"/>
      <c r="S10" s="141" t="s">
        <v>49</v>
      </c>
      <c r="T10" s="102" t="s">
        <v>96</v>
      </c>
      <c r="U10" s="130" t="s">
        <v>48</v>
      </c>
    </row>
    <row r="11" spans="2:21" ht="17" customHeight="1" thickBot="1" x14ac:dyDescent="0.25">
      <c r="B11" s="147">
        <f>Input!$F$5</f>
        <v>25000</v>
      </c>
      <c r="C11" s="104">
        <f>'Aanv. subsidie'!$I$29</f>
        <v>7399.1312146985219</v>
      </c>
      <c r="D11" s="104">
        <f>SUMIF('Aanv. subsidie'!$I$17:$I$26,"&gt;"&amp;'Aannames over draagkracht'!$D$8)*12-('Aannames over draagkracht'!$D$8*12*COUNTIF('Aanv. subsidie'!$I$17:$I$26,"&gt;"&amp;'Aannames over draagkracht'!$D$8))
-('Aannames over draagkracht'!$D$15*COUNTIF(Ledenlening!$H$19:$H$28,"&gt;"&amp;'Aannames over draagkracht'!$D$15))</f>
        <v>7399.1312146985219</v>
      </c>
      <c r="E11" s="133" t="str" cm="1">
        <f t="array" ref="E11">_xlfn.IFNA(INDEX('Aanv. subsidie'!$E$17:$E$26, MATCH(TRUE, 'Aanv. subsidie'!$I$17:$I$26&gt;'Aannames over draagkracht'!$D$8, 0)),"Voldoende")</f>
        <v>jaar 1</v>
      </c>
      <c r="F11" s="138"/>
      <c r="G11" s="105">
        <f>Overig!$G$29</f>
        <v>7399.1312146985219</v>
      </c>
      <c r="H11" s="104">
        <f>SUMIF(Overig!$G$17:$G$26,"&gt;"&amp;'Aannames over draagkracht'!$D$8)*12-('Aannames over draagkracht'!$D$8*12*COUNTIF(Overig!$G$17:$G$26,"&gt;"&amp;'Aannames over draagkracht'!$D$8))</f>
        <v>7399.1312146985219</v>
      </c>
      <c r="I11" s="82" t="str" cm="1">
        <f t="array" ref="I11">_xlfn.IFNA(INDEX("Onvoldoende", MATCH(TRUE, Overig!$G$17:$G$26&gt;'Aannames over draagkracht'!$D$8, 0)),"Voldoende")</f>
        <v>Onvoldoende</v>
      </c>
      <c r="J11" s="131"/>
      <c r="K11" s="105">
        <f>Overig!$G$29</f>
        <v>7399.1312146985219</v>
      </c>
      <c r="L11" s="104">
        <f>SUMIF(Overig!$G$17:$G$26,"&gt;"&amp;'Aannames over draagkracht'!$D$15)*12-('Aannames over draagkracht'!$D$15*12*COUNTIF(Overig!$G$17:$G$26,"&gt;"&amp;'Aannames over draagkracht'!$D$15))</f>
        <v>0</v>
      </c>
      <c r="M11" s="82" t="str" cm="1">
        <f t="array" ref="M11">_xlfn.IFNA(INDEX("Onvoldoende", MATCH(TRUE, Overig!$G$17:$G$26&gt;'Aannames over draagkracht'!$D$15, 0)),"Voldoende")</f>
        <v>Voldoende</v>
      </c>
      <c r="N11" s="131"/>
      <c r="O11" s="105">
        <f>Overig!$G$29</f>
        <v>7399.1312146985219</v>
      </c>
      <c r="P11" s="104">
        <f>SUMIF(Overig!$G$17:$G$26,"&gt;"&amp;'Aannames over draagkracht'!$D$22)*12-('Aannames over draagkracht'!$D$22*12*COUNTIF(Overig!$G$17:$G$26,"&gt;"&amp;'Aannames over draagkracht'!$D$22))</f>
        <v>0</v>
      </c>
      <c r="Q11" s="82" t="str" cm="1">
        <f t="array" ref="Q11">_xlfn.IFNA(INDEX("Onvoldoende", MATCH(TRUE, Overig!$G$17:$G$26&gt;'Aannames over draagkracht'!$D$22, 0)),"Voldoende")</f>
        <v>Voldoende</v>
      </c>
      <c r="R11" s="131"/>
      <c r="S11" s="104">
        <f>'Aanv. subsidie'!$I$29</f>
        <v>7399.1312146985219</v>
      </c>
      <c r="T11" s="81">
        <f>SUMIF('Aanv. subsidie'!$I$17:$J$26,"&gt;"&amp;'Aannames over draagkracht'!$D$35)*12-('Aannames over draagkracht'!$D$35*12*COUNTIF('Aanv. subsidie'!$I$17:$J$26,"&gt;"&amp;'Aannames over draagkracht'!$D$35))
-('Aannames over draagkracht'!$D$15*COUNTIF(Ledenlening!$H$19:$H$28,"&gt;"&amp;'Aannames over draagkracht'!$D$15))</f>
        <v>3291.9512146985098</v>
      </c>
      <c r="U11" s="104" t="str" cm="1">
        <f t="array" ref="U11">_xlfn.IFNA(INDEX('Aanv. subsidie'!$E$17:$E$26, MATCH(TRUE,'Aanv. subsidie'!$I$17:$I$26&gt;'Aannames over draagkracht'!$D$35, 0)),"Voldoende")</f>
        <v>jaar 1</v>
      </c>
    </row>
    <row r="12" spans="2:21" ht="17" customHeight="1" thickBot="1" x14ac:dyDescent="0.25">
      <c r="B12" s="147">
        <f>Input!$F$6</f>
        <v>50000</v>
      </c>
      <c r="C12" s="105">
        <f>'Aanv. subsidie'!$Q$29</f>
        <v>18807.620756006283</v>
      </c>
      <c r="D12" s="105">
        <f>SUMIF('Aanv. subsidie'!$Q$17:$Q$26,"&gt;"&amp;'Aannames over draagkracht'!$D$8)*12-('Aannames over draagkracht'!$D$8*12*COUNTIF('Aanv. subsidie'!$Q$17:$Q$26,"&gt;"&amp;'Aannames over draagkracht'!$D$8))
-('Aannames over draagkracht'!$D$15*COUNTIF(Ledenlening!$H$19:$H$28,"&gt;"&amp;'Aannames over draagkracht'!$D$15))</f>
        <v>18807.620756006283</v>
      </c>
      <c r="E12" s="134" t="str" cm="1">
        <f t="array" ref="E12">_xlfn.IFNA(INDEX('Aanv. subsidie'!$M$17:$M$26, MATCH(TRUE, 'Aanv. subsidie'!$Q$17:$Q$26&gt;'Aannames over draagkracht'!$D$8, 0)),"Voldoende")</f>
        <v>jaar 1</v>
      </c>
      <c r="F12" s="138"/>
      <c r="G12" s="105">
        <f>Overig!$N$29</f>
        <v>18807.620756006283</v>
      </c>
      <c r="H12" s="105">
        <f>SUMIF(Overig!$N$17:$N$26,"&gt;"&amp;'Aannames over draagkracht'!$D$8)*12-('Aannames over draagkracht'!$D$8*12*COUNTIF(Overig!$N$17:$N$26,"&gt;"&amp;'Aannames over draagkracht'!$D$8))
-('Aannames over draagkracht'!$D$15*COUNTIF(Ledenlening!$H$19:$H$28,"&gt;"&amp;'Aannames over draagkracht'!$D$15))</f>
        <v>18807.620756006283</v>
      </c>
      <c r="I12" s="69" t="str" cm="1">
        <f t="array" ref="I12">_xlfn.IFNA(INDEX("Onvoldoende", MATCH(TRUE, Overig!$N$17:$N$26&gt;'Aannames over draagkracht'!$D$8, 0)),"Voldoende")</f>
        <v>Onvoldoende</v>
      </c>
      <c r="J12" s="131"/>
      <c r="K12" s="105">
        <f>Overig!$N$29</f>
        <v>18807.620756006283</v>
      </c>
      <c r="L12" s="105">
        <f>SUMIF(Overig!$N$17:$N$26,"&gt;"&amp;'Aannames over draagkracht'!$D$15)*12-('Aannames over draagkracht'!$D$15*12*COUNTIF(Overig!$N$17:$N$26,"&gt;"&amp;'Aannames over draagkracht'!$D$15))
-('Aannames over draagkracht'!$D$15*COUNTIF(Ledenlening!$H$19:$H$28,"&gt;"&amp;'Aannames over draagkracht'!$D$15))</f>
        <v>0</v>
      </c>
      <c r="M12" s="69" t="str" cm="1">
        <f t="array" ref="M12">_xlfn.IFNA(INDEX("Onvoldoende", MATCH(TRUE, Overig!$N$17:$N$26&gt;'Aannames over draagkracht'!$D$15, 0)),"Voldoende")</f>
        <v>Voldoende</v>
      </c>
      <c r="N12" s="131"/>
      <c r="O12" s="105">
        <f>Overig!$N$29</f>
        <v>18807.620756006283</v>
      </c>
      <c r="P12" s="105">
        <f>SUMIF(Overig!$N$17:$N$26,"&gt;"&amp;'Aannames over draagkracht'!$D$22)*12-('Aannames over draagkracht'!$D$22*12*COUNTIF(Overig!$N$17:$N$26,"&gt;"&amp;'Aannames over draagkracht'!$D$22))
-('Aannames over draagkracht'!$D$15*COUNTIF(Ledenlening!$H$19:$H$28,"&gt;"&amp;'Aannames over draagkracht'!$D$15))</f>
        <v>0</v>
      </c>
      <c r="Q12" s="69" t="str" cm="1">
        <f t="array" ref="Q12">_xlfn.IFNA(INDEX("Onvoldoende", MATCH(TRUE, Overig!$N$17:$N$26&gt;'Aannames over draagkracht'!$D$22, 0)),"Voldoende")</f>
        <v>Voldoende</v>
      </c>
      <c r="R12" s="131"/>
      <c r="S12" s="105">
        <f>'Aanv. subsidie'!$Q$29</f>
        <v>18807.620756006283</v>
      </c>
      <c r="T12" s="79">
        <f>SUMIF('Aanv. subsidie'!$Q$17:$Q$26,"&gt;"&amp;'Aannames over draagkracht'!$D$35)*12-('Aannames over draagkracht'!$D$35*12*COUNTIF('Aanv. subsidie'!$Q$17:$Q$26,"&gt;"&amp;'Aannames over draagkracht'!$D$35))
-('Aannames over draagkracht'!$D$15*COUNTIF(Ledenlening!$H$19:$H$28,"&gt;"&amp;'Aannames over draagkracht'!$D$15))</f>
        <v>14700.440756006272</v>
      </c>
      <c r="U12" s="105" t="str" cm="1">
        <f t="array" ref="U12">_xlfn.IFNA(INDEX('Aanv. subsidie'!$M$17:$M$26, MATCH(TRUE,'Aanv. subsidie'!$Q$17:$Q$26&gt;'Aannames over draagkracht'!$D$35, 0)),"Voldoende")</f>
        <v>jaar 1</v>
      </c>
    </row>
    <row r="13" spans="2:21" ht="17" customHeight="1" thickBot="1" x14ac:dyDescent="0.25">
      <c r="B13" s="148">
        <f>Input!$F$7</f>
        <v>75000</v>
      </c>
      <c r="C13" s="106">
        <f>'Aanv. subsidie'!$Y$29</f>
        <v>30816.110297314044</v>
      </c>
      <c r="D13" s="106">
        <f>SUMIF('Aanv. subsidie'!$Y$17:$Y$26,"&gt;"&amp;'Aannames over draagkracht'!$D$8)*12-('Aannames over draagkracht'!$D$8*12*COUNTIF('Aanv. subsidie'!$Y$17:$Y$26,"&gt;"&amp;'Aannames over draagkracht'!$D$8))
-('Aannames over draagkracht'!$D$15*COUNTIF(Ledenlening!$H$19:$H$28,"&gt;"&amp;'Aannames over draagkracht'!$D$15))</f>
        <v>30816.110297314044</v>
      </c>
      <c r="E13" s="135" t="str" cm="1">
        <f t="array" ref="E13">_xlfn.IFNA(INDEX('Aanv. subsidie'!$U$17:$U$26, MATCH(TRUE, 'Aanv. subsidie'!$Y$17:$Y$26&gt;'Aannames over draagkracht'!$D$8, 0)),"Voldoende")</f>
        <v>jaar 1</v>
      </c>
      <c r="F13" s="138"/>
      <c r="G13" s="106">
        <f>Overig!$U$29</f>
        <v>30816.110297314044</v>
      </c>
      <c r="H13" s="106">
        <f>SUMIF(Overig!$U$17:$U$26,"&gt;"&amp;'Aannames over draagkracht'!$D$8)*12-('Aannames over draagkracht'!$D$8*12*COUNTIF(Overig!$U$17:$U$26,"&gt;"&amp;'Aannames over draagkracht'!$D$8))
-('Aannames over draagkracht'!$D$15*COUNTIF(Ledenlening!$H$19:$H$28,"&gt;"&amp;'Aannames over draagkracht'!$D$15))</f>
        <v>30816.110297314044</v>
      </c>
      <c r="I13" s="70" t="str" cm="1">
        <f t="array" ref="I13">_xlfn.IFNA(INDEX("Onvoldoende", MATCH(TRUE, Overig!$U$17:$U$26&gt;'Aannames over draagkracht'!$D$8, 0)),"Voldoende")</f>
        <v>Onvoldoende</v>
      </c>
      <c r="J13" s="131"/>
      <c r="K13" s="106">
        <f>Overig!$U$29</f>
        <v>30816.110297314044</v>
      </c>
      <c r="L13" s="106">
        <f>SUMIF(Overig!$U$17:$U$26,"&gt;"&amp;'Aannames over draagkracht'!$D$15)*12-('Aannames over draagkracht'!$D$15*12*COUNTIF(Overig!$U$17:$U$26,"&gt;"&amp;'Aannames over draagkracht'!$D$15))
-('Aannames over draagkracht'!$D$15*COUNTIF(Ledenlening!$H$19:$H$28,"&gt;"&amp;'Aannames over draagkracht'!$D$15))</f>
        <v>10280.210297314025</v>
      </c>
      <c r="M13" s="70" t="str" cm="1">
        <f t="array" ref="M13">_xlfn.IFNA(INDEX("Onvoldoende", MATCH(TRUE, Overig!$U$17:$U$26&gt;'Aannames over draagkracht'!$D$15, 0)),"Voldoende")</f>
        <v>Onvoldoende</v>
      </c>
      <c r="N13" s="131"/>
      <c r="O13" s="106">
        <f>Overig!$U$29</f>
        <v>30816.110297314044</v>
      </c>
      <c r="P13" s="106">
        <f>SUMIF(Overig!$U$17:$U$26,"&gt;"&amp;'Aannames over draagkracht'!$D$22)*12-('Aannames over draagkracht'!$D$22*12*COUNTIF(Overig!$U$17:$U$26,"&gt;"&amp;'Aannames over draagkracht'!$D$22))
-('Aannames over draagkracht'!$D$15*COUNTIF(Ledenlening!$H$19:$H$28,"&gt;"&amp;'Aannames over draagkracht'!$D$15))</f>
        <v>0</v>
      </c>
      <c r="Q13" s="70" t="str" cm="1">
        <f t="array" ref="Q13">_xlfn.IFNA(INDEX("Onvoldoende", MATCH(TRUE, Overig!$U$17:$U$26&gt;'Aannames over draagkracht'!$D$22, 0)),"Voldoende")</f>
        <v>Voldoende</v>
      </c>
      <c r="R13" s="131"/>
      <c r="S13" s="106">
        <f>'Aanv. subsidie'!$Y$29</f>
        <v>30816.110297314044</v>
      </c>
      <c r="T13" s="80">
        <f>SUMIF('Aanv. subsidie'!$Y$17:$Y$26,"&gt;"&amp;'Aannames over draagkracht'!$D$35)*12-('Aannames over draagkracht'!$D$35*12*COUNTIF('Aanv. subsidie'!$Y$17:$Y$26,"&gt;"&amp;'Aannames over draagkracht'!$D$35))
-('Aannames over draagkracht'!$D$15*COUNTIF(Ledenlening!$H$19:$H$28,"&gt;"&amp;'Aannames over draagkracht'!$D$15))</f>
        <v>26708.930297314033</v>
      </c>
      <c r="U13" s="106" t="str" cm="1">
        <f t="array" ref="U13">_xlfn.IFNA(INDEX('Aanv. subsidie'!$U$17:$U$26, MATCH(TRUE,'Aanv. subsidie'!$Y$17:$Y$26&gt;'Aannames over draagkracht'!$D$35, 0)),"Voldoende")</f>
        <v>jaar 1</v>
      </c>
    </row>
    <row r="14" spans="2:21" ht="17" customHeight="1" x14ac:dyDescent="0.2"/>
    <row r="15" spans="2:21" ht="17" customHeight="1" x14ac:dyDescent="0.2"/>
    <row r="16" spans="2:21" ht="17" customHeight="1" thickBot="1" x14ac:dyDescent="0.25"/>
    <row r="17" spans="2:21" ht="17" customHeight="1" thickBot="1" x14ac:dyDescent="0.25">
      <c r="C17" s="210" t="s">
        <v>51</v>
      </c>
      <c r="D17" s="211"/>
      <c r="E17" s="211"/>
      <c r="F17" s="211"/>
      <c r="G17" s="211"/>
      <c r="H17" s="211"/>
      <c r="I17" s="211"/>
      <c r="J17" s="211"/>
      <c r="K17" s="211"/>
      <c r="L17" s="211"/>
      <c r="M17" s="211"/>
      <c r="N17" s="211"/>
      <c r="O17" s="211"/>
      <c r="P17" s="211"/>
      <c r="Q17" s="211"/>
      <c r="R17" s="211"/>
      <c r="S17" s="211"/>
      <c r="T17" s="211"/>
      <c r="U17" s="212"/>
    </row>
    <row r="18" spans="2:21" ht="17" customHeight="1" thickBot="1" x14ac:dyDescent="0.25">
      <c r="G18" s="35"/>
      <c r="H18" s="35"/>
      <c r="I18" s="35"/>
      <c r="J18" s="35"/>
      <c r="K18" s="35"/>
      <c r="L18" s="35"/>
      <c r="M18" s="35"/>
      <c r="N18" s="35"/>
    </row>
    <row r="19" spans="2:21" ht="17" customHeight="1" thickBot="1" x14ac:dyDescent="0.25">
      <c r="C19" s="204" t="s">
        <v>136</v>
      </c>
      <c r="D19" s="205"/>
      <c r="E19" s="206"/>
      <c r="F19" s="66"/>
      <c r="G19" s="204" t="s">
        <v>100</v>
      </c>
      <c r="H19" s="205"/>
      <c r="I19" s="206"/>
      <c r="J19" s="66"/>
      <c r="K19" s="225" t="s">
        <v>101</v>
      </c>
      <c r="L19" s="217"/>
      <c r="M19" s="206"/>
      <c r="N19" s="66"/>
      <c r="O19" s="216" t="s">
        <v>59</v>
      </c>
      <c r="P19" s="217"/>
      <c r="Q19" s="206"/>
      <c r="R19" s="66"/>
      <c r="S19" s="192" t="str">
        <f>Input!$C$11*100&amp;"% (Aanvullende subsidie)"</f>
        <v>130% (Aanvullende subsidie)</v>
      </c>
      <c r="T19" s="193"/>
      <c r="U19" s="194"/>
    </row>
    <row r="20" spans="2:21" ht="17" customHeight="1" thickBot="1" x14ac:dyDescent="0.25">
      <c r="C20" s="132" t="s">
        <v>49</v>
      </c>
      <c r="D20" s="136" t="s">
        <v>96</v>
      </c>
      <c r="E20" s="149" t="s">
        <v>48</v>
      </c>
      <c r="F20" s="137"/>
      <c r="G20" s="102" t="s">
        <v>49</v>
      </c>
      <c r="H20" s="128" t="s">
        <v>96</v>
      </c>
      <c r="I20" s="110" t="s">
        <v>48</v>
      </c>
      <c r="J20" s="137"/>
      <c r="K20" s="141" t="s">
        <v>49</v>
      </c>
      <c r="L20" s="68" t="s">
        <v>96</v>
      </c>
      <c r="M20" s="68" t="s">
        <v>48</v>
      </c>
      <c r="N20" s="137"/>
      <c r="O20" s="142" t="s">
        <v>49</v>
      </c>
      <c r="P20" s="102" t="s">
        <v>96</v>
      </c>
      <c r="Q20" s="103" t="s">
        <v>48</v>
      </c>
      <c r="R20" s="140"/>
      <c r="S20" s="141" t="s">
        <v>49</v>
      </c>
      <c r="T20" s="102" t="s">
        <v>96</v>
      </c>
      <c r="U20" s="130" t="s">
        <v>48</v>
      </c>
    </row>
    <row r="21" spans="2:21" ht="17" customHeight="1" thickBot="1" x14ac:dyDescent="0.25">
      <c r="B21" s="147">
        <f>Input!$F$5</f>
        <v>25000</v>
      </c>
      <c r="C21" s="104">
        <f>'Aanv. subsidie'!$I$29</f>
        <v>7399.1312146985219</v>
      </c>
      <c r="D21" s="104">
        <f>SUMIF('Aanv. subsidie'!$I$17:$I$26,"&gt;"&amp;'Aannames over draagkracht'!$D$9)*12-('Aannames over draagkracht'!$D$9*12*COUNTIF('Aanv. subsidie'!$I$17:$I$26,"&gt;"&amp;'Aannames over draagkracht'!$D$9))
-('Aannames over draagkracht'!$D$15*COUNTIF(Ledenlening!$H$19:$H$28,"&gt;"&amp;'Aannames over draagkracht'!$D$15))</f>
        <v>7399.1312146985219</v>
      </c>
      <c r="E21" s="133" t="str" cm="1">
        <f t="array" ref="E21">_xlfn.IFNA(INDEX('Aanv. subsidie'!$E$17:$E$26, MATCH(TRUE, 'Aanv. subsidie'!$I$17:$I$26&gt;'Aannames over draagkracht'!$D$9, 0)),"Voldoende")</f>
        <v>jaar 1</v>
      </c>
      <c r="F21" s="138"/>
      <c r="G21" s="105">
        <f>Overig!$G$29</f>
        <v>7399.1312146985219</v>
      </c>
      <c r="H21" s="104">
        <f>SUMIF(Overig!$G$17:$G$26,"&gt;"&amp;'Aannames over draagkracht'!$D$9)*12-('Aannames over draagkracht'!$D$9*12*COUNTIF(Overig!$G$17:$G$26,"&gt;"&amp;'Aannames over draagkracht'!$D$9))</f>
        <v>7399.1312146985219</v>
      </c>
      <c r="I21" s="82" t="str" cm="1">
        <f t="array" ref="I21">_xlfn.IFNA(INDEX("Onvoldoende", MATCH(TRUE, Overig!$G$17:$G$26&gt;'Aannames over draagkracht'!$D$9, 0)),"Voldoende")</f>
        <v>Onvoldoende</v>
      </c>
      <c r="J21" s="131"/>
      <c r="K21" s="105">
        <f>Overig!$G$29</f>
        <v>7399.1312146985219</v>
      </c>
      <c r="L21" s="104">
        <f>SUMIF(Overig!$G$17:$G$26,"&gt;"&amp;'Aannames over draagkracht'!$D$16)*12-('Aannames over draagkracht'!$D$16*12*COUNTIF(Overig!$G$17:$G$26,"&gt;"&amp;'Aannames over draagkracht'!$D$16))</f>
        <v>0</v>
      </c>
      <c r="M21" s="82" t="str" cm="1">
        <f t="array" ref="M21">_xlfn.IFNA(INDEX("Onvoldoende", MATCH(TRUE, Overig!$G$17:$G$26&gt;'Aannames over draagkracht'!$D$16, 0)),"Voldoende")</f>
        <v>Voldoende</v>
      </c>
      <c r="N21" s="131"/>
      <c r="O21" s="105">
        <f>Overig!$G$29</f>
        <v>7399.1312146985219</v>
      </c>
      <c r="P21" s="104">
        <f>SUMIF(Overig!$G$17:$G$26,"&gt;"&amp;'Aannames over draagkracht'!$D$23)*12-('Aannames over draagkracht'!$D$23*12*COUNTIF(Overig!$G$17:$G$26,"&gt;"&amp;'Aannames over draagkracht'!$D$23))</f>
        <v>0</v>
      </c>
      <c r="Q21" s="82" t="str" cm="1">
        <f t="array" ref="Q21">_xlfn.IFNA(INDEX("Onvoldoende", MATCH(TRUE, Overig!$G$17:$G$26&gt;'Aannames over draagkracht'!$D$23, 0)),"Voldoende")</f>
        <v>Voldoende</v>
      </c>
      <c r="R21" s="131"/>
      <c r="S21" s="104">
        <f>'Aanv. subsidie'!$I$29</f>
        <v>7399.1312146985219</v>
      </c>
      <c r="T21" s="81">
        <f>SUMIF('Aanv. subsidie'!$I$17:$J$26,"&gt;"&amp;'Aannames over draagkracht'!$D$36)*12-('Aannames over draagkracht'!$D$36*12*COUNTIF('Aanv. subsidie'!$I$17:$J$26,"&gt;"&amp;'Aannames over draagkracht'!$D$36))
-('Aannames over draagkracht'!$D$15*COUNTIF(Ledenlening!$H$19:$H$28,"&gt;"&amp;'Aannames over draagkracht'!$D$15))</f>
        <v>1411.7312146985241</v>
      </c>
      <c r="U21" s="104" t="str" cm="1">
        <f t="array" ref="U21">_xlfn.IFNA(INDEX('Aanv. subsidie'!$E$17:$E$26, MATCH(TRUE,'Aanv. subsidie'!$I$17:$I$26&gt;'Aannames over draagkracht'!$D$36, 0)),"Voldoende")</f>
        <v>jaar 1</v>
      </c>
    </row>
    <row r="22" spans="2:21" ht="17" customHeight="1" thickBot="1" x14ac:dyDescent="0.25">
      <c r="B22" s="147">
        <f>Input!$F$6</f>
        <v>50000</v>
      </c>
      <c r="C22" s="105">
        <f>'Aanv. subsidie'!$Q$29</f>
        <v>18807.620756006283</v>
      </c>
      <c r="D22" s="105">
        <f>SUMIF('Aanv. subsidie'!$Q$17:$Q$26,"&gt;"&amp;'Aannames over draagkracht'!$D$9)*12-('Aannames over draagkracht'!$D$9*12*COUNTIF('Aanv. subsidie'!$Q$17:$Q$26,"&gt;"&amp;'Aannames over draagkracht'!$D$9))
-('Aannames over draagkracht'!$D$15*COUNTIF(Ledenlening!$H$19:$H$28,"&gt;"&amp;'Aannames over draagkracht'!$D$15))</f>
        <v>18807.620756006283</v>
      </c>
      <c r="E22" s="134" t="str" cm="1">
        <f t="array" ref="E22">_xlfn.IFNA(INDEX('Aanv. subsidie'!$M$17:$M$26, MATCH(TRUE, 'Aanv. subsidie'!$Q$17:$Q$26&gt;'Aannames over draagkracht'!$D$9, 0)),"Voldoende")</f>
        <v>jaar 1</v>
      </c>
      <c r="F22" s="138"/>
      <c r="G22" s="105">
        <f>Overig!$N$29</f>
        <v>18807.620756006283</v>
      </c>
      <c r="H22" s="105">
        <f>SUMIF(Overig!$N$17:$N$26,"&gt;"&amp;'Aannames over draagkracht'!$D$9)*12-('Aannames over draagkracht'!$D$9*12*COUNTIF(Overig!$N$17:$N$26,"&gt;"&amp;'Aannames over draagkracht'!$D$9))
-('Aannames over draagkracht'!$D$15*COUNTIF(Ledenlening!$H$19:$H$28,"&gt;"&amp;'Aannames over draagkracht'!$D$15))</f>
        <v>18807.620756006283</v>
      </c>
      <c r="I22" s="69" t="str" cm="1">
        <f t="array" ref="I22">_xlfn.IFNA(INDEX("Onvoldoende", MATCH(TRUE, Overig!$N$17:$N$26&gt;'Aannames over draagkracht'!$D$9, 0)),"Voldoende")</f>
        <v>Onvoldoende</v>
      </c>
      <c r="J22" s="131"/>
      <c r="K22" s="105">
        <f>Overig!$N$29</f>
        <v>18807.620756006283</v>
      </c>
      <c r="L22" s="105">
        <f>SUMIF(Overig!$N$17:$N$26,"&gt;"&amp;'Aannames over draagkracht'!$D$16)*12-('Aannames over draagkracht'!$D$16*12*COUNTIF(Overig!$N$17:$N$26,"&gt;"&amp;'Aannames over draagkracht'!$D$16))
-('Aannames over draagkracht'!$D$15*COUNTIF(Ledenlening!$H$19:$H$28,"&gt;"&amp;'Aannames over draagkracht'!$D$15))</f>
        <v>0</v>
      </c>
      <c r="M22" s="69" t="str" cm="1">
        <f t="array" ref="M22">_xlfn.IFNA(INDEX("Onvoldoende", MATCH(TRUE, Overig!$N$17:$N$26&gt;'Aannames over draagkracht'!$D$16, 0)),"Voldoende")</f>
        <v>Voldoende</v>
      </c>
      <c r="N22" s="131"/>
      <c r="O22" s="105">
        <f>Overig!$N$29</f>
        <v>18807.620756006283</v>
      </c>
      <c r="P22" s="105">
        <f>SUMIF(Overig!$N$17:$N$26,"&gt;"&amp;'Aannames over draagkracht'!$D$23)*12-('Aannames over draagkracht'!$D$23*12*COUNTIF(Overig!$N$17:$N$26,"&gt;"&amp;'Aannames over draagkracht'!$D$23))
-('Aannames over draagkracht'!$D$15*COUNTIF(Ledenlening!$H$19:$H$28,"&gt;"&amp;'Aannames over draagkracht'!$D$15))</f>
        <v>0</v>
      </c>
      <c r="Q22" s="69" t="str" cm="1">
        <f t="array" ref="Q22">_xlfn.IFNA(INDEX("Onvoldoende", MATCH(TRUE, Overig!$N$17:$N$26&gt;'Aannames over draagkracht'!$D$23, 0)),"Voldoende")</f>
        <v>Voldoende</v>
      </c>
      <c r="R22" s="131"/>
      <c r="S22" s="105">
        <f>'Aanv. subsidie'!$Q$29</f>
        <v>18807.620756006283</v>
      </c>
      <c r="T22" s="79">
        <f>SUMIF('Aanv. subsidie'!$Q$17:$Q$26,"&gt;"&amp;'Aannames over draagkracht'!$D$36)*12-('Aannames over draagkracht'!$D$36*12*COUNTIF('Aanv. subsidie'!$Q$17:$Q$26,"&gt;"&amp;'Aannames over draagkracht'!$D$36))
-('Aannames over draagkracht'!$D$15*COUNTIF(Ledenlening!$H$19:$H$28,"&gt;"&amp;'Aannames over draagkracht'!$D$15))</f>
        <v>12820.220756006285</v>
      </c>
      <c r="U22" s="105" t="str" cm="1">
        <f t="array" ref="U22">_xlfn.IFNA(INDEX('Aanv. subsidie'!$M$17:$M$26, MATCH(TRUE,'Aanv. subsidie'!$Q$17:$Q$26&gt;'Aannames over draagkracht'!$D$36, 0)),"Voldoende")</f>
        <v>jaar 1</v>
      </c>
    </row>
    <row r="23" spans="2:21" ht="17" customHeight="1" thickBot="1" x14ac:dyDescent="0.25">
      <c r="B23" s="148">
        <f>Input!$F$7</f>
        <v>75000</v>
      </c>
      <c r="C23" s="106">
        <f>'Aanv. subsidie'!$Y$29</f>
        <v>30816.110297314044</v>
      </c>
      <c r="D23" s="106">
        <f>SUMIF('Aanv. subsidie'!$Y$17:$Y$26,"&gt;"&amp;'Aannames over draagkracht'!$D$9)*12-('Aannames over draagkracht'!$D$9*12*COUNTIF('Aanv. subsidie'!$Y$17:$Y$26,"&gt;"&amp;'Aannames over draagkracht'!$D$9))
-('Aannames over draagkracht'!$D$15*COUNTIF(Ledenlening!$H$19:$H$28,"&gt;"&amp;'Aannames over draagkracht'!$D$15))</f>
        <v>30816.110297314044</v>
      </c>
      <c r="E23" s="135" t="str" cm="1">
        <f t="array" ref="E23">_xlfn.IFNA(INDEX('Aanv. subsidie'!$U$17:$U$26, MATCH(TRUE, 'Aanv. subsidie'!$Y$17:$Y$26&gt;'Aannames over draagkracht'!$D$9, 0)),"Voldoende")</f>
        <v>jaar 1</v>
      </c>
      <c r="F23" s="138"/>
      <c r="G23" s="106">
        <f>Overig!$U$29</f>
        <v>30816.110297314044</v>
      </c>
      <c r="H23" s="106">
        <f>SUMIF(Overig!$U$17:$U$26,"&gt;"&amp;'Aannames over draagkracht'!$D$9)*12-('Aannames over draagkracht'!$D$9*12*COUNTIF(Overig!$U$17:$U$26,"&gt;"&amp;'Aannames over draagkracht'!$D$9))
-('Aannames over draagkracht'!$D$15*COUNTIF(Ledenlening!$H$19:$H$28,"&gt;"&amp;'Aannames over draagkracht'!$D$15))</f>
        <v>30816.110297314044</v>
      </c>
      <c r="I23" s="70" t="str" cm="1">
        <f t="array" ref="I23">_xlfn.IFNA(INDEX("Onvoldoende", MATCH(TRUE, Overig!$U$17:$U$26&gt;'Aannames over draagkracht'!$D$9, 0)),"Voldoende")</f>
        <v>Onvoldoende</v>
      </c>
      <c r="J23" s="131"/>
      <c r="K23" s="106">
        <f>Overig!$U$29</f>
        <v>30816.110297314044</v>
      </c>
      <c r="L23" s="106">
        <f>SUMIF(Overig!$U$17:$U$26,"&gt;"&amp;'Aannames over draagkracht'!$D$16)*12-('Aannames over draagkracht'!$D$16*12*COUNTIF(Overig!$U$17:$U$26,"&gt;"&amp;'Aannames over draagkracht'!$D$16))
-('Aannames over draagkracht'!$D$15*COUNTIF(Ledenlening!$H$19:$H$28,"&gt;"&amp;'Aannames over draagkracht'!$D$15))</f>
        <v>879.11029731405506</v>
      </c>
      <c r="M23" s="70" t="str" cm="1">
        <f t="array" ref="M23">_xlfn.IFNA(INDEX("Onvoldoende", MATCH(TRUE, Overig!$U$17:$U$26&gt;'Aannames over draagkracht'!$D$16, 0)),"Voldoende")</f>
        <v>Onvoldoende</v>
      </c>
      <c r="N23" s="131"/>
      <c r="O23" s="106">
        <f>Overig!$U$29</f>
        <v>30816.110297314044</v>
      </c>
      <c r="P23" s="106">
        <f>SUMIF(Overig!$U$17:$U$26,"&gt;"&amp;'Aannames over draagkracht'!$D$23)*12-('Aannames over draagkracht'!$D$23*12*COUNTIF(Overig!$U$17:$U$26,"&gt;"&amp;'Aannames over draagkracht'!$D$23))
-('Aannames over draagkracht'!$D$15*COUNTIF(Ledenlening!$H$19:$H$28,"&gt;"&amp;'Aannames over draagkracht'!$D$15))</f>
        <v>0</v>
      </c>
      <c r="Q23" s="70" t="str" cm="1">
        <f t="array" ref="Q23">_xlfn.IFNA(INDEX("Onvoldoende", MATCH(TRUE, Overig!$U$17:$U$26&gt;'Aannames over draagkracht'!$D$23, 0)),"Voldoende")</f>
        <v>Voldoende</v>
      </c>
      <c r="R23" s="131"/>
      <c r="S23" s="106">
        <f>'Aanv. subsidie'!$Y$29</f>
        <v>30816.110297314044</v>
      </c>
      <c r="T23" s="80">
        <f>SUMIF('Aanv. subsidie'!$Y$17:$Y$26,"&gt;"&amp;'Aannames over draagkracht'!$D$36)*12-('Aannames over draagkracht'!$D$36*12*COUNTIF('Aanv. subsidie'!$Y$17:$Y$26,"&gt;"&amp;'Aannames over draagkracht'!$D$36))
-('Aannames over draagkracht'!$D$15*COUNTIF(Ledenlening!$H$19:$H$28,"&gt;"&amp;'Aannames over draagkracht'!$D$15))</f>
        <v>24828.710297314046</v>
      </c>
      <c r="U23" s="106" t="str" cm="1">
        <f t="array" ref="U23">_xlfn.IFNA(INDEX('Aanv. subsidie'!$U$17:$U$26, MATCH(TRUE,'Aanv. subsidie'!$Y$17:$Y$26&gt;'Aannames over draagkracht'!$D$36, 0)),"Voldoende")</f>
        <v>jaar 1</v>
      </c>
    </row>
    <row r="24" spans="2:21" ht="17" customHeight="1" x14ac:dyDescent="0.2"/>
    <row r="25" spans="2:21" ht="17" customHeight="1" x14ac:dyDescent="0.2"/>
    <row r="26" spans="2:21" ht="17" customHeight="1" thickBot="1" x14ac:dyDescent="0.25"/>
    <row r="27" spans="2:21" ht="17" customHeight="1" thickBot="1" x14ac:dyDescent="0.25">
      <c r="C27" s="210" t="s">
        <v>110</v>
      </c>
      <c r="D27" s="211"/>
      <c r="E27" s="211"/>
      <c r="F27" s="211"/>
      <c r="G27" s="211"/>
      <c r="H27" s="211"/>
      <c r="I27" s="211"/>
      <c r="J27" s="211"/>
      <c r="K27" s="211"/>
      <c r="L27" s="211"/>
      <c r="M27" s="211"/>
      <c r="N27" s="211"/>
      <c r="O27" s="211"/>
      <c r="P27" s="211"/>
      <c r="Q27" s="211"/>
      <c r="R27" s="211"/>
      <c r="S27" s="211"/>
      <c r="T27" s="211"/>
      <c r="U27" s="212"/>
    </row>
    <row r="28" spans="2:21" ht="17" customHeight="1" thickBot="1" x14ac:dyDescent="0.25">
      <c r="G28" s="35"/>
      <c r="H28" s="35"/>
      <c r="I28" s="35"/>
      <c r="J28" s="35"/>
      <c r="K28" s="35"/>
      <c r="L28" s="35"/>
      <c r="M28" s="35"/>
      <c r="N28" s="35"/>
    </row>
    <row r="29" spans="2:21" ht="17" customHeight="1" thickBot="1" x14ac:dyDescent="0.25">
      <c r="C29" s="204" t="s">
        <v>136</v>
      </c>
      <c r="D29" s="205"/>
      <c r="E29" s="206"/>
      <c r="F29" s="66"/>
      <c r="G29" s="204" t="s">
        <v>100</v>
      </c>
      <c r="H29" s="205"/>
      <c r="I29" s="206"/>
      <c r="J29" s="66"/>
      <c r="K29" s="225" t="s">
        <v>101</v>
      </c>
      <c r="L29" s="217"/>
      <c r="M29" s="206"/>
      <c r="N29" s="66"/>
      <c r="O29" s="216" t="s">
        <v>59</v>
      </c>
      <c r="P29" s="217"/>
      <c r="Q29" s="206"/>
      <c r="R29" s="66"/>
      <c r="S29" s="192" t="str">
        <f>Input!$C$11*100&amp;"% (Aanvullende subsidie)"</f>
        <v>130% (Aanvullende subsidie)</v>
      </c>
      <c r="T29" s="193"/>
      <c r="U29" s="194"/>
    </row>
    <row r="30" spans="2:21" ht="17" customHeight="1" thickBot="1" x14ac:dyDescent="0.25">
      <c r="C30" s="132" t="s">
        <v>49</v>
      </c>
      <c r="D30" s="136" t="s">
        <v>96</v>
      </c>
      <c r="E30" s="149" t="s">
        <v>48</v>
      </c>
      <c r="F30" s="137"/>
      <c r="G30" s="102" t="s">
        <v>49</v>
      </c>
      <c r="H30" s="128" t="s">
        <v>96</v>
      </c>
      <c r="I30" s="110" t="s">
        <v>48</v>
      </c>
      <c r="J30" s="137"/>
      <c r="K30" s="141" t="s">
        <v>49</v>
      </c>
      <c r="L30" s="68" t="s">
        <v>96</v>
      </c>
      <c r="M30" s="68" t="s">
        <v>48</v>
      </c>
      <c r="N30" s="137"/>
      <c r="O30" s="142" t="s">
        <v>49</v>
      </c>
      <c r="P30" s="102" t="s">
        <v>96</v>
      </c>
      <c r="Q30" s="103" t="s">
        <v>48</v>
      </c>
      <c r="R30" s="140"/>
      <c r="S30" s="141" t="s">
        <v>49</v>
      </c>
      <c r="T30" s="102" t="s">
        <v>96</v>
      </c>
      <c r="U30" s="130" t="s">
        <v>48</v>
      </c>
    </row>
    <row r="31" spans="2:21" ht="17" customHeight="1" thickBot="1" x14ac:dyDescent="0.25">
      <c r="B31" s="147">
        <f>Input!$F$5</f>
        <v>25000</v>
      </c>
      <c r="C31" s="104">
        <f>'Aanv. subsidie'!$I$29</f>
        <v>7399.1312146985219</v>
      </c>
      <c r="D31" s="104">
        <f>SUMIF('Aanv. subsidie'!$I$17:$I$26,"&gt;"&amp;'Aannames over draagkracht'!$D$10)*12-('Aannames over draagkracht'!$D$10*12*COUNTIF('Aanv. subsidie'!$I$17:$I$26,"&gt;"&amp;'Aannames over draagkracht'!$D$10))
-('Aannames over draagkracht'!$D$15*COUNTIF(Ledenlening!$H$19:$H$28,"&gt;"&amp;'Aannames over draagkracht'!$D$15))</f>
        <v>7399.1312146985219</v>
      </c>
      <c r="E31" s="133" t="str" cm="1">
        <f t="array" ref="E31">_xlfn.IFNA(INDEX('Aanv. subsidie'!$E$17:$E$26, MATCH(TRUE, 'Aanv. subsidie'!$I$17:$I$26&gt;'Aannames over draagkracht'!$D$10, 0)),"Voldoende")</f>
        <v>jaar 1</v>
      </c>
      <c r="F31" s="138"/>
      <c r="G31" s="105">
        <f>Overig!$G$29</f>
        <v>7399.1312146985219</v>
      </c>
      <c r="H31" s="104">
        <f>SUMIF(Overig!$G$17:$G$26,"&gt;"&amp;'Aannames over draagkracht'!$D$10)*12-('Aannames over draagkracht'!$D$10*12*COUNTIF(Overig!$G$17:$G$26,"&gt;"&amp;'Aannames over draagkracht'!$D$10))</f>
        <v>7399.1312146985219</v>
      </c>
      <c r="I31" s="82" t="str" cm="1">
        <f t="array" ref="I31">_xlfn.IFNA(INDEX("Onvoldoende", MATCH(TRUE, Overig!$G$17:$G$26&gt;'Aannames over draagkracht'!$D$9, 0)),"Voldoende")</f>
        <v>Onvoldoende</v>
      </c>
      <c r="J31" s="131"/>
      <c r="K31" s="105">
        <f>Overig!$G$29</f>
        <v>7399.1312146985219</v>
      </c>
      <c r="L31" s="104">
        <f>SUMIF(Overig!$G$17:$G$26,"&gt;"&amp;'Aannames over draagkracht'!$D$17)*12-('Aannames over draagkracht'!$D$17*12*COUNTIF(Overig!$G$17:$G$26,"&gt;"&amp;'Aannames over draagkracht'!$D$17))</f>
        <v>0</v>
      </c>
      <c r="M31" s="82" t="str" cm="1">
        <f t="array" ref="M31">_xlfn.IFNA(INDEX("Onvoldoende", MATCH(TRUE, Overig!$G$17:$G$26&gt;'Aannames over draagkracht'!$D$17, 0)),"Voldoende")</f>
        <v>Voldoende</v>
      </c>
      <c r="N31" s="131"/>
      <c r="O31" s="105">
        <f>Overig!$G$29</f>
        <v>7399.1312146985219</v>
      </c>
      <c r="P31" s="104">
        <f>SUMIF(Overig!$G$17:$G$26,"&gt;"&amp;'Aannames over draagkracht'!$D$24)*12-('Aannames over draagkracht'!$D$24*12*COUNTIF(Overig!$G$17:$G$26,"&gt;"&amp;'Aannames over draagkracht'!$D$24))</f>
        <v>0</v>
      </c>
      <c r="Q31" s="82" t="str" cm="1">
        <f t="array" ref="Q31">_xlfn.IFNA(INDEX("Onvoldoende", MATCH(TRUE, Overig!$G$17:$G$26&gt;'Aannames over draagkracht'!$D$24, 0)),"Voldoende")</f>
        <v>Voldoende</v>
      </c>
      <c r="R31" s="131"/>
      <c r="S31" s="104">
        <f>'Aanv. subsidie'!$I$29</f>
        <v>7399.1312146985219</v>
      </c>
      <c r="T31" s="81">
        <f>SUMIF('Aanv. subsidie'!$I$17:$J$26,"&gt;"&amp;'Aannames over draagkracht'!$D$37)*12-('Aannames over draagkracht'!$D$37*12*COUNTIF('Aanv. subsidie'!$I$17:$J$26,"&gt;"&amp;'Aannames over draagkracht'!$D$37))
-('Aannames over draagkracht'!$D$15*COUNTIF(Ledenlening!$H$19:$H$28,"&gt;"&amp;'Aannames over draagkracht'!$D$15))</f>
        <v>2808.5012146985164</v>
      </c>
      <c r="U31" s="104" t="str" cm="1">
        <f t="array" ref="U31">_xlfn.IFNA(INDEX('Aanv. subsidie'!$E$17:$E$26, MATCH(TRUE,'Aanv. subsidie'!$I$17:$I$26&gt;'Aannames over draagkracht'!$D$37, 0)),"Voldoende")</f>
        <v>jaar 1</v>
      </c>
    </row>
    <row r="32" spans="2:21" ht="17" customHeight="1" thickBot="1" x14ac:dyDescent="0.25">
      <c r="B32" s="147">
        <f>Input!$F$6</f>
        <v>50000</v>
      </c>
      <c r="C32" s="105">
        <f>'Aanv. subsidie'!$Q$29</f>
        <v>18807.620756006283</v>
      </c>
      <c r="D32" s="105">
        <f>SUMIF('Aanv. subsidie'!$Q$17:$Q$26,"&gt;"&amp;'Aannames over draagkracht'!$D$10)*12-('Aannames over draagkracht'!$D$10*12*COUNTIF('Aanv. subsidie'!$Q$17:$Q$26,"&gt;"&amp;'Aannames over draagkracht'!$D$10))
-('Aannames over draagkracht'!$D$15*COUNTIF(Ledenlening!$H$19:$H$28,"&gt;"&amp;'Aannames over draagkracht'!$D$15))</f>
        <v>18807.620756006283</v>
      </c>
      <c r="E32" s="134" t="str" cm="1">
        <f t="array" ref="E32">_xlfn.IFNA(INDEX('Aanv. subsidie'!$M$17:$M$26, MATCH(TRUE, 'Aanv. subsidie'!$Q$17:$Q$26&gt;'Aannames over draagkracht'!$D$10, 0)),"Voldoende")</f>
        <v>jaar 1</v>
      </c>
      <c r="F32" s="138"/>
      <c r="G32" s="105">
        <f>Overig!$N$29</f>
        <v>18807.620756006283</v>
      </c>
      <c r="H32" s="105">
        <f>SUMIF(Overig!$N$17:$N$26,"&gt;"&amp;'Aannames over draagkracht'!$D$10)*12-('Aannames over draagkracht'!$D$10*12*COUNTIF(Overig!$N$17:$N$26,"&gt;"&amp;'Aannames over draagkracht'!$D$10))
-('Aannames over draagkracht'!$D$15*COUNTIF(Ledenlening!$H$19:$H$28,"&gt;"&amp;'Aannames over draagkracht'!$D$15))</f>
        <v>18807.620756006283</v>
      </c>
      <c r="I32" s="69" t="str" cm="1">
        <f t="array" ref="I32">_xlfn.IFNA(INDEX("Onvoldoende", MATCH(TRUE, Overig!$N$17:$N$26&gt;'Aannames over draagkracht'!$D$9, 0)),"Voldoende")</f>
        <v>Onvoldoende</v>
      </c>
      <c r="J32" s="131"/>
      <c r="K32" s="105">
        <f>Overig!$N$29</f>
        <v>18807.620756006283</v>
      </c>
      <c r="L32" s="105">
        <f>SUMIF(Overig!$N$17:$N$26,"&gt;"&amp;'Aannames over draagkracht'!$D$17)*12-('Aannames over draagkracht'!$D$17*12*COUNTIF(Overig!$N$17:$N$26,"&gt;"&amp;'Aannames over draagkracht'!$D$17))
-('Aannames over draagkracht'!$D$15*COUNTIF(Ledenlening!$H$19:$H$28,"&gt;"&amp;'Aannames over draagkracht'!$D$15))</f>
        <v>0</v>
      </c>
      <c r="M32" s="69" t="str" cm="1">
        <f t="array" ref="M32">_xlfn.IFNA(INDEX("Onvoldoende", MATCH(TRUE, Overig!$N$17:$N$26&gt;'Aannames over draagkracht'!$D$17, 0)),"Voldoende")</f>
        <v>Voldoende</v>
      </c>
      <c r="N32" s="131"/>
      <c r="O32" s="105">
        <f>Overig!$N$29</f>
        <v>18807.620756006283</v>
      </c>
      <c r="P32" s="105">
        <f>SUMIF(Overig!$N$17:$N$26,"&gt;"&amp;'Aannames over draagkracht'!$D$24)*12-('Aannames over draagkracht'!$D$24*12*COUNTIF(Overig!$N$17:$N$26,"&gt;"&amp;'Aannames over draagkracht'!$D$24))
-('Aannames over draagkracht'!$D$15*COUNTIF(Ledenlening!$H$19:$H$28,"&gt;"&amp;'Aannames over draagkracht'!$D$15))</f>
        <v>0</v>
      </c>
      <c r="Q32" s="69" t="str" cm="1">
        <f t="array" ref="Q32">_xlfn.IFNA(INDEX("Onvoldoende", MATCH(TRUE, Overig!$N$17:$N$26&gt;'Aannames over draagkracht'!$D$24, 0)),"Voldoende")</f>
        <v>Voldoende</v>
      </c>
      <c r="R32" s="131"/>
      <c r="S32" s="105">
        <f>'Aanv. subsidie'!$Q$29</f>
        <v>18807.620756006283</v>
      </c>
      <c r="T32" s="79">
        <f>SUMIF('Aanv. subsidie'!$Q$17:$Q$26,"&gt;"&amp;'Aannames over draagkracht'!$D$37)*12-('Aannames over draagkracht'!$D$37*12*COUNTIF('Aanv. subsidie'!$Q$17:$Q$26,"&gt;"&amp;'Aannames over draagkracht'!$D$37))
-('Aannames over draagkracht'!$D$15*COUNTIF(Ledenlening!$H$19:$H$28,"&gt;"&amp;'Aannames over draagkracht'!$D$15))</f>
        <v>14216.990756006278</v>
      </c>
      <c r="U32" s="105" t="str" cm="1">
        <f t="array" ref="U32">_xlfn.IFNA(INDEX('Aanv. subsidie'!$M$17:$M$26, MATCH(TRUE,'Aanv. subsidie'!$Q$17:$Q$26&gt;'Aannames over draagkracht'!$D$37, 0)),"Voldoende")</f>
        <v>jaar 1</v>
      </c>
    </row>
    <row r="33" spans="2:21" ht="17" customHeight="1" thickBot="1" x14ac:dyDescent="0.25">
      <c r="B33" s="148">
        <f>Input!$F$7</f>
        <v>75000</v>
      </c>
      <c r="C33" s="106">
        <f>'Aanv. subsidie'!$Y$29</f>
        <v>30816.110297314044</v>
      </c>
      <c r="D33" s="106">
        <f>SUMIF('Aanv. subsidie'!$Y$17:$Y$26,"&gt;"&amp;'Aannames over draagkracht'!$D$10)*12-('Aannames over draagkracht'!$D$10*12*COUNTIF('Aanv. subsidie'!$Y$17:$Y$26,"&gt;"&amp;'Aannames over draagkracht'!$D$10))
-('Aannames over draagkracht'!$D$15*COUNTIF(Ledenlening!$H$19:$H$28,"&gt;"&amp;'Aannames over draagkracht'!$D$15))</f>
        <v>30816.110297314044</v>
      </c>
      <c r="E33" s="135" t="str" cm="1">
        <f t="array" ref="E33">_xlfn.IFNA(INDEX('Aanv. subsidie'!$U$17:$U$26, MATCH(TRUE, 'Aanv. subsidie'!$Y$17:$Y$26&gt;'Aannames over draagkracht'!$D$10, 0)),"Voldoende")</f>
        <v>jaar 1</v>
      </c>
      <c r="F33" s="138"/>
      <c r="G33" s="106">
        <f>Overig!$U$29</f>
        <v>30816.110297314044</v>
      </c>
      <c r="H33" s="106">
        <f>SUMIF(Overig!$U$17:$U$26,"&gt;"&amp;'Aannames over draagkracht'!$D$10)*12-('Aannames over draagkracht'!$D$10*12*COUNTIF(Overig!$U$17:$U$26,"&gt;"&amp;'Aannames over draagkracht'!$D$10))
-('Aannames over draagkracht'!$D$15*COUNTIF(Ledenlening!$H$19:$H$28,"&gt;"&amp;'Aannames over draagkracht'!$D$15))</f>
        <v>30816.110297314044</v>
      </c>
      <c r="I33" s="70" t="str" cm="1">
        <f t="array" ref="I33">_xlfn.IFNA(INDEX("Onvoldoende", MATCH(TRUE, Overig!$U$17:$U$26&gt;'Aannames over draagkracht'!$D$9, 0)),"Voldoende")</f>
        <v>Onvoldoende</v>
      </c>
      <c r="J33" s="131"/>
      <c r="K33" s="106">
        <f>Overig!$U$29</f>
        <v>30816.110297314044</v>
      </c>
      <c r="L33" s="106">
        <f>SUMIF(Overig!$U$17:$U$26,"&gt;"&amp;'Aannames over draagkracht'!$D$17)*12-('Aannames over draagkracht'!$D$17*12*COUNTIF(Overig!$U$17:$U$26,"&gt;"&amp;'Aannames over draagkracht'!$D$17))
-('Aannames over draagkracht'!$D$15*COUNTIF(Ledenlening!$H$19:$H$28,"&gt;"&amp;'Aannames over draagkracht'!$D$15))</f>
        <v>7862.9602973140427</v>
      </c>
      <c r="M33" s="70" t="str" cm="1">
        <f t="array" ref="M33">_xlfn.IFNA(INDEX("Onvoldoende", MATCH(TRUE, Overig!$U$17:$U$26&gt;'Aannames over draagkracht'!$D$17, 0)),"Voldoende")</f>
        <v>Onvoldoende</v>
      </c>
      <c r="N33" s="131"/>
      <c r="O33" s="106">
        <f>Overig!$U$29</f>
        <v>30816.110297314044</v>
      </c>
      <c r="P33" s="106">
        <f>SUMIF(Overig!$U$17:$U$26,"&gt;"&amp;'Aannames over draagkracht'!$D$24)*12-('Aannames over draagkracht'!$D$24*12*COUNTIF(Overig!$U$17:$U$26,"&gt;"&amp;'Aannames over draagkracht'!$D$24))
-('Aannames over draagkracht'!$D$15*COUNTIF(Ledenlening!$H$19:$H$28,"&gt;"&amp;'Aannames over draagkracht'!$D$15))</f>
        <v>0</v>
      </c>
      <c r="Q33" s="70" t="str" cm="1">
        <f t="array" ref="Q33">_xlfn.IFNA(INDEX("Onvoldoende", MATCH(TRUE, Overig!$U$17:$U$26&gt;'Aannames over draagkracht'!$D$24, 0)),"Voldoende")</f>
        <v>Voldoende</v>
      </c>
      <c r="R33" s="131"/>
      <c r="S33" s="106">
        <f>'Aanv. subsidie'!$Y$29</f>
        <v>30816.110297314044</v>
      </c>
      <c r="T33" s="80">
        <f>SUMIF('Aanv. subsidie'!$Y$17:$Y$26,"&gt;"&amp;'Aannames over draagkracht'!$D$37)*12-('Aannames over draagkracht'!$D$37*12*COUNTIF('Aanv. subsidie'!$Y$17:$Y$26,"&gt;"&amp;'Aannames over draagkracht'!$D$37))
-('Aannames over draagkracht'!$D$15*COUNTIF(Ledenlening!$H$19:$H$28,"&gt;"&amp;'Aannames over draagkracht'!$D$15))</f>
        <v>26225.480297314039</v>
      </c>
      <c r="U33" s="106" t="str" cm="1">
        <f t="array" ref="U33">_xlfn.IFNA(INDEX('Aanv. subsidie'!$U$17:$U$26, MATCH(TRUE,'Aanv. subsidie'!$Y$17:$Y$26&gt;'Aannames over draagkracht'!$D$37, 0)),"Voldoende")</f>
        <v>jaar 1</v>
      </c>
    </row>
    <row r="34" spans="2:21" ht="17" customHeight="1" x14ac:dyDescent="0.2"/>
    <row r="35" spans="2:21" ht="17" customHeight="1" x14ac:dyDescent="0.2"/>
    <row r="36" spans="2:21" ht="17" customHeight="1" thickBot="1" x14ac:dyDescent="0.25"/>
    <row r="37" spans="2:21" ht="17" customHeight="1" thickBot="1" x14ac:dyDescent="0.25">
      <c r="C37" s="210" t="s">
        <v>53</v>
      </c>
      <c r="D37" s="211"/>
      <c r="E37" s="211"/>
      <c r="F37" s="211"/>
      <c r="G37" s="211"/>
      <c r="H37" s="211"/>
      <c r="I37" s="211"/>
      <c r="J37" s="211"/>
      <c r="K37" s="211"/>
      <c r="L37" s="211"/>
      <c r="M37" s="211"/>
      <c r="N37" s="211"/>
      <c r="O37" s="211"/>
      <c r="P37" s="211"/>
      <c r="Q37" s="211"/>
      <c r="R37" s="211"/>
      <c r="S37" s="211"/>
      <c r="T37" s="211"/>
      <c r="U37" s="212"/>
    </row>
    <row r="38" spans="2:21" ht="17" customHeight="1" thickBot="1" x14ac:dyDescent="0.25">
      <c r="G38" s="35"/>
      <c r="H38" s="35"/>
      <c r="I38" s="35"/>
      <c r="J38" s="35"/>
      <c r="K38" s="35"/>
      <c r="L38" s="35"/>
      <c r="M38" s="35"/>
      <c r="N38" s="35"/>
    </row>
    <row r="39" spans="2:21" ht="17" customHeight="1" thickBot="1" x14ac:dyDescent="0.25">
      <c r="C39" s="204" t="s">
        <v>136</v>
      </c>
      <c r="D39" s="205"/>
      <c r="E39" s="206"/>
      <c r="F39" s="66"/>
      <c r="G39" s="204" t="s">
        <v>100</v>
      </c>
      <c r="H39" s="205"/>
      <c r="I39" s="206"/>
      <c r="J39" s="66"/>
      <c r="K39" s="225" t="s">
        <v>101</v>
      </c>
      <c r="L39" s="217"/>
      <c r="M39" s="206"/>
      <c r="N39" s="66"/>
      <c r="O39" s="216" t="s">
        <v>59</v>
      </c>
      <c r="P39" s="217"/>
      <c r="Q39" s="206"/>
      <c r="R39" s="66"/>
      <c r="S39" s="192" t="str">
        <f>Input!$C$11*100&amp;"% (Aanvullende subsidie)"</f>
        <v>130% (Aanvullende subsidie)</v>
      </c>
      <c r="T39" s="193"/>
      <c r="U39" s="194"/>
    </row>
    <row r="40" spans="2:21" ht="17" customHeight="1" thickBot="1" x14ac:dyDescent="0.25">
      <c r="C40" s="132" t="s">
        <v>49</v>
      </c>
      <c r="D40" s="136" t="s">
        <v>96</v>
      </c>
      <c r="E40" s="149" t="s">
        <v>48</v>
      </c>
      <c r="F40" s="137"/>
      <c r="G40" s="102" t="s">
        <v>49</v>
      </c>
      <c r="H40" s="128" t="s">
        <v>96</v>
      </c>
      <c r="I40" s="110" t="s">
        <v>48</v>
      </c>
      <c r="J40" s="137"/>
      <c r="K40" s="141" t="s">
        <v>49</v>
      </c>
      <c r="L40" s="68" t="s">
        <v>96</v>
      </c>
      <c r="M40" s="68" t="s">
        <v>48</v>
      </c>
      <c r="N40" s="137"/>
      <c r="O40" s="142" t="s">
        <v>49</v>
      </c>
      <c r="P40" s="102" t="s">
        <v>96</v>
      </c>
      <c r="Q40" s="103" t="s">
        <v>48</v>
      </c>
      <c r="R40" s="140"/>
      <c r="S40" s="141" t="s">
        <v>49</v>
      </c>
      <c r="T40" s="102" t="s">
        <v>96</v>
      </c>
      <c r="U40" s="130" t="s">
        <v>48</v>
      </c>
    </row>
    <row r="41" spans="2:21" ht="16" thickBot="1" x14ac:dyDescent="0.25">
      <c r="B41" s="147">
        <f>Input!$F$5</f>
        <v>25000</v>
      </c>
      <c r="C41" s="104">
        <f>'Aanv. subsidie'!$I$29</f>
        <v>7399.1312146985219</v>
      </c>
      <c r="D41" s="104">
        <f>SUMIF('Aanv. subsidie'!$I$17:$I$26,"&gt;"&amp;'Aannames over draagkracht'!$D$11)*12-('Aannames over draagkracht'!$D$11*12*COUNTIF('Aanv. subsidie'!$I$17:$I$26,"&gt;"&amp;'Aannames over draagkracht'!$D$11))
-('Aannames over draagkracht'!$D$15*COUNTIF(Ledenlening!$H$19:$H$28,"&gt;"&amp;'Aannames over draagkracht'!$D$15))</f>
        <v>7399.1312146985219</v>
      </c>
      <c r="E41" s="133" t="str" cm="1">
        <f t="array" ref="E41">_xlfn.IFNA(INDEX('Aanv. subsidie'!$E$17:$E$26, MATCH(TRUE, 'Aanv. subsidie'!$I$17:$I$26&gt;'Aannames over draagkracht'!$D$11, 0)),"Voldoende")</f>
        <v>jaar 1</v>
      </c>
      <c r="F41" s="138"/>
      <c r="G41" s="105">
        <f>Overig!$G$29</f>
        <v>7399.1312146985219</v>
      </c>
      <c r="H41" s="104">
        <f>SUMIF(Overig!$G$17:$G$26,"&gt;"&amp;'Aannames over draagkracht'!$D$11)*12-('Aannames over draagkracht'!$D$11*12*COUNTIF(Overig!$G$17:$G$26,"&gt;"&amp;'Aannames over draagkracht'!$D$11))</f>
        <v>7399.1312146985219</v>
      </c>
      <c r="I41" s="82" t="str" cm="1">
        <f t="array" ref="I41">_xlfn.IFNA(INDEX("Onvoldoende", MATCH(TRUE, Overig!$G$17:$G$26&gt;'Aannames over draagkracht'!$D$9, 0)),"Voldoende")</f>
        <v>Onvoldoende</v>
      </c>
      <c r="J41" s="131"/>
      <c r="K41" s="105">
        <f>Overig!$G$29</f>
        <v>7399.1312146985219</v>
      </c>
      <c r="L41" s="104">
        <f>SUMIF(Overig!$G$17:$G$26,"&gt;"&amp;'Aannames over draagkracht'!$D$18)*12-('Aannames over draagkracht'!$D$18*12*COUNTIF(Overig!$G$17:$G$26,"&gt;"&amp;'Aannames over draagkracht'!$D$18))</f>
        <v>0</v>
      </c>
      <c r="M41" s="82" t="str" cm="1">
        <f t="array" ref="M41">_xlfn.IFNA(INDEX("Onvoldoende", MATCH(TRUE, Overig!$G$17:$G$26&gt;'Aannames over draagkracht'!$D$18, 0)),"Voldoende")</f>
        <v>Voldoende</v>
      </c>
      <c r="N41" s="131"/>
      <c r="O41" s="105">
        <f>Overig!$G$29</f>
        <v>7399.1312146985219</v>
      </c>
      <c r="P41" s="104">
        <f>SUMIF(Overig!$G$17:$G$26,"&gt;"&amp;'Aannames over draagkracht'!$D$25)*12-('Aannames over draagkracht'!$D$25*12*COUNTIF(Overig!$G$17:$G$26,"&gt;"&amp;'Aannames over draagkracht'!$D$25))</f>
        <v>0</v>
      </c>
      <c r="Q41" s="82" t="str" cm="1">
        <f t="array" ref="Q41">_xlfn.IFNA(INDEX("Onvoldoende", MATCH(TRUE, Overig!$G$17:$G$26&gt;'Aannames over draagkracht'!$D$25, 0)),"Voldoende")</f>
        <v>Voldoende</v>
      </c>
      <c r="R41" s="131"/>
      <c r="S41" s="104">
        <f>'Aanv. subsidie'!$I$29</f>
        <v>7399.1312146985219</v>
      </c>
      <c r="T41" s="81">
        <f>SUMIF('Aanv. subsidie'!$I$17:$J$26,"&gt;"&amp;'Aannames over draagkracht'!$D$38)*12-('Aannames over draagkracht'!$D$38*12*COUNTIF('Aanv. subsidie'!$I$17:$J$26,"&gt;"&amp;'Aannames over draagkracht'!$D$38))
-('Aannames over draagkracht'!$D$15*COUNTIF(Ledenlening!$H$19:$H$28,"&gt;"&amp;'Aannames over draagkracht'!$D$15))</f>
        <v>1114.1912146985069</v>
      </c>
      <c r="U41" s="104" t="str" cm="1">
        <f t="array" ref="U41">_xlfn.IFNA(INDEX('Aanv. subsidie'!$E$17:$E$26, MATCH(TRUE,'Aanv. subsidie'!$I$17:$I$26&gt;'Aannames over draagkracht'!$D$38, 0)),"Voldoende")</f>
        <v>jaar 1</v>
      </c>
    </row>
    <row r="42" spans="2:21" ht="16" thickBot="1" x14ac:dyDescent="0.25">
      <c r="B42" s="147">
        <f>Input!$F$6</f>
        <v>50000</v>
      </c>
      <c r="C42" s="105">
        <f>'Aanv. subsidie'!$Q$29</f>
        <v>18807.620756006283</v>
      </c>
      <c r="D42" s="105">
        <f>SUMIF('Aanv. subsidie'!$Q$17:$Q$26,"&gt;"&amp;'Aannames over draagkracht'!$D$11)*12-('Aannames over draagkracht'!$D$11*12*COUNTIF('Aanv. subsidie'!$Q$17:$Q$26,"&gt;"&amp;'Aannames over draagkracht'!$D$11))
-('Aannames over draagkracht'!$D$15*COUNTIF(Ledenlening!$H$19:$H$28,"&gt;"&amp;'Aannames over draagkracht'!$D$15))</f>
        <v>18807.620756006283</v>
      </c>
      <c r="E42" s="134" t="str" cm="1">
        <f t="array" ref="E42">_xlfn.IFNA(INDEX('Aanv. subsidie'!$M$17:$M$26, MATCH(TRUE, 'Aanv. subsidie'!$Q$17:$Q$26&gt;'Aannames over draagkracht'!$D$11, 0)),"Voldoende")</f>
        <v>jaar 1</v>
      </c>
      <c r="F42" s="138"/>
      <c r="G42" s="105">
        <f>Overig!$N$29</f>
        <v>18807.620756006283</v>
      </c>
      <c r="H42" s="105">
        <f>SUMIF(Overig!$N$17:$N$26,"&gt;"&amp;'Aannames over draagkracht'!$D$11)*12-('Aannames over draagkracht'!$D$11*12*COUNTIF(Overig!$N$17:$N$26,"&gt;"&amp;'Aannames over draagkracht'!$D$11))
-('Aannames over draagkracht'!$D$15*COUNTIF(Ledenlening!$H$19:$H$28,"&gt;"&amp;'Aannames over draagkracht'!$D$15))</f>
        <v>18807.620756006283</v>
      </c>
      <c r="I42" s="69" t="str" cm="1">
        <f t="array" ref="I42">_xlfn.IFNA(INDEX("Onvoldoende", MATCH(TRUE, Overig!$N$17:$N$26&gt;'Aannames over draagkracht'!$D$9, 0)),"Voldoende")</f>
        <v>Onvoldoende</v>
      </c>
      <c r="J42" s="131"/>
      <c r="K42" s="105">
        <f>Overig!$N$29</f>
        <v>18807.620756006283</v>
      </c>
      <c r="L42" s="105">
        <f>SUMIF(Overig!$N$17:$N$26,"&gt;"&amp;'Aannames over draagkracht'!$D$18)*12-('Aannames over draagkracht'!$D$18*12*COUNTIF(Overig!$N$17:$N$26,"&gt;"&amp;'Aannames over draagkracht'!$D$18))
-('Aannames over draagkracht'!$D$15*COUNTIF(Ledenlening!$H$19:$H$28,"&gt;"&amp;'Aannames over draagkracht'!$D$15))</f>
        <v>0</v>
      </c>
      <c r="M42" s="69" t="str" cm="1">
        <f t="array" ref="M42">_xlfn.IFNA(INDEX("Onvoldoende", MATCH(TRUE, Overig!$N$17:$N$26&gt;'Aannames over draagkracht'!$D$18, 0)),"Voldoende")</f>
        <v>Voldoende</v>
      </c>
      <c r="N42" s="131"/>
      <c r="O42" s="105">
        <f>Overig!$N$29</f>
        <v>18807.620756006283</v>
      </c>
      <c r="P42" s="105">
        <f>SUMIF(Overig!$N$17:$N$26,"&gt;"&amp;'Aannames over draagkracht'!$D$25)*12-('Aannames over draagkracht'!$D$25*12*COUNTIF(Overig!$N$17:$N$26,"&gt;"&amp;'Aannames over draagkracht'!$D$25))
-('Aannames over draagkracht'!$D$15*COUNTIF(Ledenlening!$H$19:$H$28,"&gt;"&amp;'Aannames over draagkracht'!$D$15))</f>
        <v>0</v>
      </c>
      <c r="Q42" s="69" t="str" cm="1">
        <f t="array" ref="Q42">_xlfn.IFNA(INDEX("Onvoldoende", MATCH(TRUE, Overig!$N$17:$N$26&gt;'Aannames over draagkracht'!$D$25, 0)),"Voldoende")</f>
        <v>Voldoende</v>
      </c>
      <c r="R42" s="131"/>
      <c r="S42" s="105">
        <f>'Aanv. subsidie'!$Q$29</f>
        <v>18807.620756006283</v>
      </c>
      <c r="T42" s="79">
        <f>SUMIF('Aanv. subsidie'!$Q$17:$Q$26,"&gt;"&amp;'Aannames over draagkracht'!$D$38)*12-('Aannames over draagkracht'!$D$38*12*COUNTIF('Aanv. subsidie'!$Q$17:$Q$26,"&gt;"&amp;'Aannames over draagkracht'!$D$38))
-('Aannames over draagkracht'!$D$15*COUNTIF(Ledenlening!$H$19:$H$28,"&gt;"&amp;'Aannames over draagkracht'!$D$15))</f>
        <v>12522.680756006268</v>
      </c>
      <c r="U42" s="105" t="str" cm="1">
        <f t="array" ref="U42">_xlfn.IFNA(INDEX('Aanv. subsidie'!$M$17:$M$26, MATCH(TRUE,'Aanv. subsidie'!$Q$17:$Q$26&gt;'Aannames over draagkracht'!$D$38, 0)),"Voldoende")</f>
        <v>jaar 1</v>
      </c>
    </row>
    <row r="43" spans="2:21" ht="16" thickBot="1" x14ac:dyDescent="0.25">
      <c r="B43" s="148">
        <f>Input!$F$7</f>
        <v>75000</v>
      </c>
      <c r="C43" s="106">
        <f>'Aanv. subsidie'!$Y$29</f>
        <v>30816.110297314044</v>
      </c>
      <c r="D43" s="106">
        <f>SUMIF('Aanv. subsidie'!$Y$17:$Y$26,"&gt;"&amp;'Aannames over draagkracht'!$D$11)*12-('Aannames over draagkracht'!$D$11*12*COUNTIF('Aanv. subsidie'!$Y$17:$Y$26,"&gt;"&amp;'Aannames over draagkracht'!$D$11))
-('Aannames over draagkracht'!$D$15*COUNTIF(Ledenlening!$H$19:$H$28,"&gt;"&amp;'Aannames over draagkracht'!$D$15))</f>
        <v>30816.110297314044</v>
      </c>
      <c r="E43" s="135" t="str" cm="1">
        <f t="array" ref="E43">_xlfn.IFNA(INDEX('Aanv. subsidie'!$U$17:$U$26, MATCH(TRUE, 'Aanv. subsidie'!$Y$17:$Y$26&gt;'Aannames over draagkracht'!$D$11, 0)),"Voldoende")</f>
        <v>jaar 1</v>
      </c>
      <c r="F43" s="138"/>
      <c r="G43" s="106">
        <f>Overig!$U$29</f>
        <v>30816.110297314044</v>
      </c>
      <c r="H43" s="106">
        <f>SUMIF(Overig!$U$17:$U$26,"&gt;"&amp;'Aannames over draagkracht'!$D$11)*12-('Aannames over draagkracht'!$D$11*12*COUNTIF(Overig!$U$17:$U$26,"&gt;"&amp;'Aannames over draagkracht'!$D$11))
-('Aannames over draagkracht'!$D$15*COUNTIF(Ledenlening!$H$19:$H$28,"&gt;"&amp;'Aannames over draagkracht'!$D$15))</f>
        <v>30816.110297314044</v>
      </c>
      <c r="I43" s="70" t="str" cm="1">
        <f t="array" ref="I43">_xlfn.IFNA(INDEX("Onvoldoende", MATCH(TRUE, Overig!$U$17:$U$26&gt;'Aannames over draagkracht'!$D$9, 0)),"Voldoende")</f>
        <v>Onvoldoende</v>
      </c>
      <c r="J43" s="131"/>
      <c r="K43" s="106">
        <f>Overig!$U$29</f>
        <v>30816.110297314044</v>
      </c>
      <c r="L43" s="106">
        <f>SUMIF(Overig!$U$17:$U$26,"&gt;"&amp;'Aannames over draagkracht'!$D$18)*12-('Aannames over draagkracht'!$D$18*12*COUNTIF(Overig!$U$17:$U$26,"&gt;"&amp;'Aannames over draagkracht'!$D$18))
-('Aannames over draagkracht'!$D$15*COUNTIF(Ledenlening!$H$19:$H$28,"&gt;"&amp;'Aannames over draagkracht'!$D$15))</f>
        <v>0</v>
      </c>
      <c r="M43" s="70" t="str" cm="1">
        <f t="array" ref="M43">_xlfn.IFNA(INDEX("Onvoldoende", MATCH(TRUE, Overig!$U$17:$U$26&gt;'Aannames over draagkracht'!$D$18, 0)),"Voldoende")</f>
        <v>Voldoende</v>
      </c>
      <c r="N43" s="131"/>
      <c r="O43" s="106">
        <f>Overig!$U$29</f>
        <v>30816.110297314044</v>
      </c>
      <c r="P43" s="106">
        <f>SUMIF(Overig!$U$17:$U$26,"&gt;"&amp;'Aannames over draagkracht'!$D$25)*12-('Aannames over draagkracht'!$D$25*12*COUNTIF(Overig!$U$17:$U$26,"&gt;"&amp;'Aannames over draagkracht'!$D$25))
-('Aannames over draagkracht'!$D$15*COUNTIF(Ledenlening!$H$19:$H$28,"&gt;"&amp;'Aannames over draagkracht'!$D$15))</f>
        <v>0</v>
      </c>
      <c r="Q43" s="70" t="str" cm="1">
        <f t="array" ref="Q43">_xlfn.IFNA(INDEX("Onvoldoende", MATCH(TRUE, Overig!$U$17:$U$26&gt;'Aannames over draagkracht'!$D$25, 0)),"Voldoende")</f>
        <v>Voldoende</v>
      </c>
      <c r="R43" s="131"/>
      <c r="S43" s="106">
        <f>'Aanv. subsidie'!$Y$29</f>
        <v>30816.110297314044</v>
      </c>
      <c r="T43" s="80">
        <f>SUMIF('Aanv. subsidie'!$Y$17:$Y$26,"&gt;"&amp;'Aannames over draagkracht'!$D$38)*12-('Aannames over draagkracht'!$D$38*12*COUNTIF('Aanv. subsidie'!$Y$17:$Y$26,"&gt;"&amp;'Aannames over draagkracht'!$D$38))
-('Aannames over draagkracht'!$D$15*COUNTIF(Ledenlening!$H$19:$H$28,"&gt;"&amp;'Aannames over draagkracht'!$D$15))</f>
        <v>24531.170297314027</v>
      </c>
      <c r="U43" s="106" t="str" cm="1">
        <f t="array" ref="U43">_xlfn.IFNA(INDEX('Aanv. subsidie'!$U$17:$U$26, MATCH(TRUE,'Aanv. subsidie'!$Y$17:$Y$26&gt;'Aannames over draagkracht'!$D$38, 0)),"Voldoende")</f>
        <v>jaar 1</v>
      </c>
    </row>
    <row r="1048575" spans="4:4" ht="16" thickBot="1" x14ac:dyDescent="0.25"/>
    <row r="1048576" spans="4:4" x14ac:dyDescent="0.2">
      <c r="D1048576" s="104"/>
    </row>
  </sheetData>
  <mergeCells count="26">
    <mergeCell ref="K19:M19"/>
    <mergeCell ref="O19:Q19"/>
    <mergeCell ref="S19:U19"/>
    <mergeCell ref="G5:Q5"/>
    <mergeCell ref="C7:U7"/>
    <mergeCell ref="C9:E9"/>
    <mergeCell ref="G9:I9"/>
    <mergeCell ref="K9:M9"/>
    <mergeCell ref="O9:Q9"/>
    <mergeCell ref="S9:U9"/>
    <mergeCell ref="J2:N2"/>
    <mergeCell ref="C37:U37"/>
    <mergeCell ref="C39:E39"/>
    <mergeCell ref="G39:I39"/>
    <mergeCell ref="K39:M39"/>
    <mergeCell ref="O39:Q39"/>
    <mergeCell ref="S39:U39"/>
    <mergeCell ref="C27:U27"/>
    <mergeCell ref="C29:E29"/>
    <mergeCell ref="G29:I29"/>
    <mergeCell ref="K29:M29"/>
    <mergeCell ref="O29:Q29"/>
    <mergeCell ref="S29:U29"/>
    <mergeCell ref="C17:U17"/>
    <mergeCell ref="C19:E19"/>
    <mergeCell ref="G19:I19"/>
  </mergeCells>
  <conditionalFormatting sqref="E9:F13">
    <cfRule type="containsText" dxfId="104" priority="162" operator="containsText" text="jaar">
      <formula>NOT(ISERROR(SEARCH("jaar",E9)))</formula>
    </cfRule>
    <cfRule type="containsText" dxfId="103" priority="161" operator="containsText" text="Voldoende">
      <formula>NOT(ISERROR(SEARCH("Voldoende",E9)))</formula>
    </cfRule>
    <cfRule type="cellIs" dxfId="102" priority="160" operator="equal">
      <formula>"Onvoldoende"</formula>
    </cfRule>
  </conditionalFormatting>
  <conditionalFormatting sqref="E19:F23">
    <cfRule type="cellIs" dxfId="101" priority="7" operator="equal">
      <formula>"Onvoldoende"</formula>
    </cfRule>
    <cfRule type="containsText" dxfId="100" priority="8" operator="containsText" text="Voldoende">
      <formula>NOT(ISERROR(SEARCH("Voldoende",E19)))</formula>
    </cfRule>
    <cfRule type="containsText" dxfId="99" priority="9" operator="containsText" text="jaar">
      <formula>NOT(ISERROR(SEARCH("jaar",E19)))</formula>
    </cfRule>
  </conditionalFormatting>
  <conditionalFormatting sqref="E29:F33">
    <cfRule type="cellIs" dxfId="98" priority="4" operator="equal">
      <formula>"Onvoldoende"</formula>
    </cfRule>
    <cfRule type="containsText" dxfId="97" priority="5" operator="containsText" text="Voldoende">
      <formula>NOT(ISERROR(SEARCH("Voldoende",E29)))</formula>
    </cfRule>
    <cfRule type="containsText" dxfId="96" priority="6" operator="containsText" text="jaar">
      <formula>NOT(ISERROR(SEARCH("jaar",E29)))</formula>
    </cfRule>
  </conditionalFormatting>
  <conditionalFormatting sqref="E39:F43">
    <cfRule type="cellIs" dxfId="95" priority="1" operator="equal">
      <formula>"Onvoldoende"</formula>
    </cfRule>
    <cfRule type="containsText" dxfId="94" priority="2" operator="containsText" text="Voldoende">
      <formula>NOT(ISERROR(SEARCH("Voldoende",E39)))</formula>
    </cfRule>
    <cfRule type="containsText" dxfId="93" priority="3" operator="containsText" text="jaar">
      <formula>NOT(ISERROR(SEARCH("jaar",E39)))</formula>
    </cfRule>
  </conditionalFormatting>
  <conditionalFormatting sqref="G5 I6:J6 M6:N6 Q6:R6">
    <cfRule type="cellIs" dxfId="92" priority="184" operator="equal">
      <formula>"Onvoldoende"</formula>
    </cfRule>
  </conditionalFormatting>
  <conditionalFormatting sqref="I6:J6 M6:N6 Q6:R6">
    <cfRule type="containsText" dxfId="91" priority="186" operator="containsText" text="jaar">
      <formula>NOT(ISERROR(SEARCH("jaar",I6)))</formula>
    </cfRule>
    <cfRule type="containsText" dxfId="90" priority="185" operator="containsText" text="Voldoende">
      <formula>NOT(ISERROR(SEARCH("Voldoende",I6)))</formula>
    </cfRule>
  </conditionalFormatting>
  <conditionalFormatting sqref="I8:J13">
    <cfRule type="containsText" dxfId="89" priority="177" operator="containsText" text="jaar">
      <formula>NOT(ISERROR(SEARCH("jaar",I8)))</formula>
    </cfRule>
    <cfRule type="containsText" dxfId="88" priority="176" operator="containsText" text="Voldoende">
      <formula>NOT(ISERROR(SEARCH("Voldoende",I8)))</formula>
    </cfRule>
    <cfRule type="cellIs" dxfId="87" priority="175" operator="equal">
      <formula>"Onvoldoende"</formula>
    </cfRule>
  </conditionalFormatting>
  <conditionalFormatting sqref="I18:J23">
    <cfRule type="containsText" dxfId="86" priority="84" operator="containsText" text="jaar">
      <formula>NOT(ISERROR(SEARCH("jaar",I18)))</formula>
    </cfRule>
    <cfRule type="containsText" dxfId="85" priority="83" operator="containsText" text="Voldoende">
      <formula>NOT(ISERROR(SEARCH("Voldoende",I18)))</formula>
    </cfRule>
    <cfRule type="cellIs" dxfId="84" priority="82" operator="equal">
      <formula>"Onvoldoende"</formula>
    </cfRule>
  </conditionalFormatting>
  <conditionalFormatting sqref="I28:J33">
    <cfRule type="containsText" dxfId="83" priority="48" operator="containsText" text="jaar">
      <formula>NOT(ISERROR(SEARCH("jaar",I28)))</formula>
    </cfRule>
    <cfRule type="containsText" dxfId="82" priority="47" operator="containsText" text="Voldoende">
      <formula>NOT(ISERROR(SEARCH("Voldoende",I28)))</formula>
    </cfRule>
    <cfRule type="cellIs" dxfId="81" priority="46" operator="equal">
      <formula>"Onvoldoende"</formula>
    </cfRule>
  </conditionalFormatting>
  <conditionalFormatting sqref="I38:J43">
    <cfRule type="cellIs" dxfId="80" priority="43" operator="equal">
      <formula>"Onvoldoende"</formula>
    </cfRule>
    <cfRule type="containsText" dxfId="79" priority="45" operator="containsText" text="jaar">
      <formula>NOT(ISERROR(SEARCH("jaar",I38)))</formula>
    </cfRule>
    <cfRule type="containsText" dxfId="78" priority="44" operator="containsText" text="Voldoende">
      <formula>NOT(ISERROR(SEARCH("Voldoende",I38)))</formula>
    </cfRule>
  </conditionalFormatting>
  <conditionalFormatting sqref="M8:N13">
    <cfRule type="containsText" dxfId="77" priority="96" operator="containsText" text="jaar">
      <formula>NOT(ISERROR(SEARCH("jaar",M8)))</formula>
    </cfRule>
    <cfRule type="containsText" dxfId="76" priority="95" operator="containsText" text="Voldoende">
      <formula>NOT(ISERROR(SEARCH("Voldoende",M8)))</formula>
    </cfRule>
    <cfRule type="cellIs" dxfId="75" priority="94" operator="equal">
      <formula>"Onvoldoende"</formula>
    </cfRule>
  </conditionalFormatting>
  <conditionalFormatting sqref="M18:N23">
    <cfRule type="containsText" dxfId="74" priority="78" operator="containsText" text="jaar">
      <formula>NOT(ISERROR(SEARCH("jaar",M18)))</formula>
    </cfRule>
    <cfRule type="containsText" dxfId="73" priority="77" operator="containsText" text="Voldoende">
      <formula>NOT(ISERROR(SEARCH("Voldoende",M18)))</formula>
    </cfRule>
    <cfRule type="cellIs" dxfId="72" priority="76" operator="equal">
      <formula>"Onvoldoende"</formula>
    </cfRule>
  </conditionalFormatting>
  <conditionalFormatting sqref="M28:N33">
    <cfRule type="cellIs" dxfId="71" priority="40" operator="equal">
      <formula>"Onvoldoende"</formula>
    </cfRule>
    <cfRule type="containsText" dxfId="70" priority="41" operator="containsText" text="Voldoende">
      <formula>NOT(ISERROR(SEARCH("Voldoende",M28)))</formula>
    </cfRule>
    <cfRule type="containsText" dxfId="69" priority="42" operator="containsText" text="jaar">
      <formula>NOT(ISERROR(SEARCH("jaar",M28)))</formula>
    </cfRule>
  </conditionalFormatting>
  <conditionalFormatting sqref="M38:N43">
    <cfRule type="containsText" dxfId="68" priority="39" operator="containsText" text="jaar">
      <formula>NOT(ISERROR(SEARCH("jaar",M38)))</formula>
    </cfRule>
    <cfRule type="cellIs" dxfId="67" priority="37" operator="equal">
      <formula>"Onvoldoende"</formula>
    </cfRule>
    <cfRule type="containsText" dxfId="66" priority="38" operator="containsText" text="Voldoende">
      <formula>NOT(ISERROR(SEARCH("Voldoende",M38)))</formula>
    </cfRule>
  </conditionalFormatting>
  <conditionalFormatting sqref="Q8:R13">
    <cfRule type="cellIs" dxfId="65" priority="91" operator="equal">
      <formula>"Onvoldoende"</formula>
    </cfRule>
    <cfRule type="containsText" dxfId="64" priority="93" operator="containsText" text="jaar">
      <formula>NOT(ISERROR(SEARCH("jaar",Q8)))</formula>
    </cfRule>
    <cfRule type="containsText" dxfId="63" priority="92" operator="containsText" text="Voldoende">
      <formula>NOT(ISERROR(SEARCH("Voldoende",Q8)))</formula>
    </cfRule>
  </conditionalFormatting>
  <conditionalFormatting sqref="Q18:R23">
    <cfRule type="cellIs" dxfId="62" priority="73" operator="equal">
      <formula>"Onvoldoende"</formula>
    </cfRule>
    <cfRule type="containsText" dxfId="61" priority="74" operator="containsText" text="Voldoende">
      <formula>NOT(ISERROR(SEARCH("Voldoende",Q18)))</formula>
    </cfRule>
    <cfRule type="containsText" dxfId="60" priority="75" operator="containsText" text="jaar">
      <formula>NOT(ISERROR(SEARCH("jaar",Q18)))</formula>
    </cfRule>
  </conditionalFormatting>
  <conditionalFormatting sqref="Q28:R33">
    <cfRule type="containsText" dxfId="59" priority="36" operator="containsText" text="jaar">
      <formula>NOT(ISERROR(SEARCH("jaar",Q28)))</formula>
    </cfRule>
    <cfRule type="containsText" dxfId="58" priority="35" operator="containsText" text="Voldoende">
      <formula>NOT(ISERROR(SEARCH("Voldoende",Q28)))</formula>
    </cfRule>
    <cfRule type="cellIs" dxfId="57" priority="34" operator="equal">
      <formula>"Onvoldoende"</formula>
    </cfRule>
  </conditionalFormatting>
  <conditionalFormatting sqref="Q38:R43">
    <cfRule type="containsText" dxfId="56" priority="33" operator="containsText" text="jaar">
      <formula>NOT(ISERROR(SEARCH("jaar",Q38)))</formula>
    </cfRule>
    <cfRule type="containsText" dxfId="55" priority="32" operator="containsText" text="Voldoende">
      <formula>NOT(ISERROR(SEARCH("Voldoende",Q38)))</formula>
    </cfRule>
    <cfRule type="cellIs" dxfId="54" priority="31" operator="equal">
      <formula>"Onvoldoende"</formula>
    </cfRule>
  </conditionalFormatting>
  <conditionalFormatting sqref="U9:U13">
    <cfRule type="cellIs" dxfId="53" priority="88" operator="equal">
      <formula>"Onvoldoende"</formula>
    </cfRule>
    <cfRule type="containsText" dxfId="52" priority="89" operator="containsText" text="Voldoende">
      <formula>NOT(ISERROR(SEARCH("Voldoende",U9)))</formula>
    </cfRule>
    <cfRule type="containsText" dxfId="51" priority="90" operator="containsText" text="jaar">
      <formula>NOT(ISERROR(SEARCH("jaar",U9)))</formula>
    </cfRule>
  </conditionalFormatting>
  <conditionalFormatting sqref="U19:U23">
    <cfRule type="cellIs" dxfId="50" priority="16" operator="equal">
      <formula>"Onvoldoende"</formula>
    </cfRule>
    <cfRule type="containsText" dxfId="49" priority="17" operator="containsText" text="Voldoende">
      <formula>NOT(ISERROR(SEARCH("Voldoende",U19)))</formula>
    </cfRule>
    <cfRule type="containsText" dxfId="48" priority="18" operator="containsText" text="jaar">
      <formula>NOT(ISERROR(SEARCH("jaar",U19)))</formula>
    </cfRule>
  </conditionalFormatting>
  <conditionalFormatting sqref="U29:U33">
    <cfRule type="containsText" dxfId="47" priority="15" operator="containsText" text="jaar">
      <formula>NOT(ISERROR(SEARCH("jaar",U29)))</formula>
    </cfRule>
    <cfRule type="cellIs" dxfId="46" priority="13" operator="equal">
      <formula>"Onvoldoende"</formula>
    </cfRule>
    <cfRule type="containsText" dxfId="45" priority="14" operator="containsText" text="Voldoende">
      <formula>NOT(ISERROR(SEARCH("Voldoende",U29)))</formula>
    </cfRule>
  </conditionalFormatting>
  <conditionalFormatting sqref="U39:U43">
    <cfRule type="containsText" dxfId="44" priority="12" operator="containsText" text="jaar">
      <formula>NOT(ISERROR(SEARCH("jaar",U39)))</formula>
    </cfRule>
    <cfRule type="containsText" dxfId="43" priority="11" operator="containsText" text="Voldoende">
      <formula>NOT(ISERROR(SEARCH("Voldoende",U39)))</formula>
    </cfRule>
    <cfRule type="cellIs" dxfId="42" priority="10" operator="equal">
      <formula>"Onvoldoende"</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53962-C10D-F440-9645-53C1F8F49364}">
  <dimension ref="A1:F1048576"/>
  <sheetViews>
    <sheetView topLeftCell="A4" zoomScale="158" workbookViewId="0">
      <selection activeCell="F18" sqref="F18"/>
    </sheetView>
  </sheetViews>
  <sheetFormatPr baseColWidth="10" defaultRowHeight="15" x14ac:dyDescent="0.2"/>
  <cols>
    <col min="1" max="1" width="41.1640625" style="77" customWidth="1"/>
    <col min="2" max="2" width="16" style="77" customWidth="1"/>
    <col min="3" max="3" width="10.83203125" customWidth="1"/>
    <col min="4" max="4" width="10.83203125" style="83"/>
  </cols>
  <sheetData>
    <row r="1" spans="1:6" x14ac:dyDescent="0.2">
      <c r="A1" s="9" t="s">
        <v>54</v>
      </c>
      <c r="B1" s="86" t="s">
        <v>65</v>
      </c>
      <c r="C1" s="1" t="s">
        <v>66</v>
      </c>
      <c r="D1" s="107" t="s">
        <v>48</v>
      </c>
    </row>
    <row r="2" spans="1:6" x14ac:dyDescent="0.2">
      <c r="A2" s="83" t="s">
        <v>60</v>
      </c>
      <c r="B2" s="10">
        <v>1369.06</v>
      </c>
      <c r="C2" s="11"/>
    </row>
    <row r="3" spans="1:6" x14ac:dyDescent="0.2">
      <c r="A3" s="83" t="s">
        <v>61</v>
      </c>
      <c r="B3" s="10">
        <v>1995.8</v>
      </c>
      <c r="C3" s="11"/>
    </row>
    <row r="4" spans="1:6" x14ac:dyDescent="0.2">
      <c r="A4" s="83" t="s">
        <v>62</v>
      </c>
      <c r="B4" s="10">
        <v>1530.21</v>
      </c>
      <c r="C4" s="11"/>
    </row>
    <row r="5" spans="1:6" x14ac:dyDescent="0.2">
      <c r="A5" s="83" t="s">
        <v>63</v>
      </c>
      <c r="B5" s="10">
        <v>2094.98</v>
      </c>
      <c r="C5" s="11"/>
    </row>
    <row r="6" spans="1:6" ht="16" x14ac:dyDescent="0.2">
      <c r="A6" s="72"/>
      <c r="B6" s="9"/>
      <c r="C6" s="11"/>
    </row>
    <row r="7" spans="1:6" x14ac:dyDescent="0.2">
      <c r="A7" s="9" t="s">
        <v>64</v>
      </c>
      <c r="B7" s="9"/>
      <c r="C7" s="9"/>
      <c r="D7" s="107"/>
      <c r="F7" s="9"/>
    </row>
    <row r="8" spans="1:6" x14ac:dyDescent="0.2">
      <c r="A8" s="83" t="s">
        <v>55</v>
      </c>
      <c r="B8" s="84">
        <f>B2*1.25</f>
        <v>1711.3249999999998</v>
      </c>
      <c r="C8" s="10" t="s">
        <v>47</v>
      </c>
      <c r="D8" s="113">
        <v>0</v>
      </c>
    </row>
    <row r="9" spans="1:6" x14ac:dyDescent="0.2">
      <c r="A9" s="83" t="s">
        <v>56</v>
      </c>
      <c r="B9" s="84">
        <f t="shared" ref="B9:B11" si="0">B3*1.25</f>
        <v>2494.75</v>
      </c>
      <c r="C9" s="10" t="s">
        <v>47</v>
      </c>
      <c r="D9" s="113">
        <v>0</v>
      </c>
    </row>
    <row r="10" spans="1:6" x14ac:dyDescent="0.2">
      <c r="A10" s="83" t="s">
        <v>57</v>
      </c>
      <c r="B10" s="84">
        <f t="shared" si="0"/>
        <v>1912.7625</v>
      </c>
      <c r="C10" s="10" t="s">
        <v>47</v>
      </c>
      <c r="D10" s="113">
        <v>0</v>
      </c>
    </row>
    <row r="11" spans="1:6" x14ac:dyDescent="0.2">
      <c r="A11" s="83" t="s">
        <v>58</v>
      </c>
      <c r="B11" s="84">
        <f t="shared" si="0"/>
        <v>2618.7249999999999</v>
      </c>
      <c r="C11" s="10" t="s">
        <v>47</v>
      </c>
      <c r="D11" s="113">
        <v>0</v>
      </c>
    </row>
    <row r="12" spans="1:6" ht="16" x14ac:dyDescent="0.2">
      <c r="A12" s="72"/>
      <c r="B12" s="10"/>
      <c r="C12" s="10"/>
    </row>
    <row r="13" spans="1:6" ht="16" x14ac:dyDescent="0.2">
      <c r="A13" s="72"/>
      <c r="B13" s="10"/>
      <c r="C13" s="10"/>
    </row>
    <row r="14" spans="1:6" x14ac:dyDescent="0.2">
      <c r="A14" s="9" t="s">
        <v>32</v>
      </c>
      <c r="B14" s="12"/>
      <c r="C14" s="10"/>
    </row>
    <row r="15" spans="1:6" x14ac:dyDescent="0.2">
      <c r="A15" s="83" t="s">
        <v>33</v>
      </c>
      <c r="B15" s="84">
        <f>B2*1.5</f>
        <v>2053.59</v>
      </c>
      <c r="C15" s="10">
        <f>B15-B8</f>
        <v>342.26500000000033</v>
      </c>
      <c r="D15" s="114">
        <f>C15/2</f>
        <v>171.13250000000016</v>
      </c>
      <c r="F15" s="3"/>
    </row>
    <row r="16" spans="1:6" x14ac:dyDescent="0.2">
      <c r="A16" s="83" t="s">
        <v>34</v>
      </c>
      <c r="B16" s="84">
        <f t="shared" ref="B16:B18" si="1">B3*1.5</f>
        <v>2993.7</v>
      </c>
      <c r="C16" s="10">
        <f t="shared" ref="C16:C18" si="2">B16-B9</f>
        <v>498.94999999999982</v>
      </c>
      <c r="D16" s="114">
        <f t="shared" ref="D16:D32" si="3">C16/2</f>
        <v>249.47499999999991</v>
      </c>
      <c r="F16" s="3"/>
    </row>
    <row r="17" spans="1:6" x14ac:dyDescent="0.2">
      <c r="A17" s="83" t="s">
        <v>35</v>
      </c>
      <c r="B17" s="84">
        <f t="shared" si="1"/>
        <v>2295.3150000000001</v>
      </c>
      <c r="C17" s="10">
        <f t="shared" si="2"/>
        <v>382.55250000000001</v>
      </c>
      <c r="D17" s="114">
        <f t="shared" si="3"/>
        <v>191.27625</v>
      </c>
      <c r="F17" s="3"/>
    </row>
    <row r="18" spans="1:6" x14ac:dyDescent="0.2">
      <c r="A18" s="83" t="s">
        <v>36</v>
      </c>
      <c r="B18" s="84">
        <f t="shared" si="1"/>
        <v>3142.4700000000003</v>
      </c>
      <c r="C18" s="10">
        <f t="shared" si="2"/>
        <v>523.74500000000035</v>
      </c>
      <c r="D18" s="114">
        <f t="shared" si="3"/>
        <v>261.87250000000017</v>
      </c>
      <c r="F18" s="3"/>
    </row>
    <row r="19" spans="1:6" ht="16" x14ac:dyDescent="0.2">
      <c r="A19" s="72"/>
      <c r="B19" s="10"/>
      <c r="C19" s="10"/>
      <c r="D19" s="108"/>
    </row>
    <row r="20" spans="1:6" ht="16" x14ac:dyDescent="0.2">
      <c r="A20" s="72"/>
      <c r="B20" s="10"/>
      <c r="C20" s="10"/>
      <c r="D20" s="108"/>
    </row>
    <row r="21" spans="1:6" x14ac:dyDescent="0.2">
      <c r="A21" s="9" t="s">
        <v>37</v>
      </c>
      <c r="B21" s="10"/>
      <c r="C21" s="10"/>
      <c r="D21" s="108"/>
    </row>
    <row r="22" spans="1:6" x14ac:dyDescent="0.2">
      <c r="A22" s="83" t="s">
        <v>38</v>
      </c>
      <c r="B22" s="10">
        <f>B2*1.75</f>
        <v>2395.855</v>
      </c>
      <c r="C22" s="10">
        <f>B22-B8</f>
        <v>684.5300000000002</v>
      </c>
      <c r="D22" s="114">
        <f t="shared" si="3"/>
        <v>342.2650000000001</v>
      </c>
    </row>
    <row r="23" spans="1:6" x14ac:dyDescent="0.2">
      <c r="A23" s="83" t="s">
        <v>39</v>
      </c>
      <c r="B23" s="10">
        <f t="shared" ref="B23:B25" si="4">B3*1.75</f>
        <v>3492.65</v>
      </c>
      <c r="C23" s="10">
        <f t="shared" ref="C23:C25" si="5">B23-B9</f>
        <v>997.90000000000009</v>
      </c>
      <c r="D23" s="114">
        <f t="shared" si="3"/>
        <v>498.95000000000005</v>
      </c>
    </row>
    <row r="24" spans="1:6" x14ac:dyDescent="0.2">
      <c r="A24" s="83" t="s">
        <v>40</v>
      </c>
      <c r="B24" s="10">
        <f t="shared" si="4"/>
        <v>2677.8675000000003</v>
      </c>
      <c r="C24" s="10">
        <f t="shared" si="5"/>
        <v>765.10500000000025</v>
      </c>
      <c r="D24" s="114">
        <f t="shared" si="3"/>
        <v>382.55250000000012</v>
      </c>
    </row>
    <row r="25" spans="1:6" x14ac:dyDescent="0.2">
      <c r="A25" s="83" t="s">
        <v>41</v>
      </c>
      <c r="B25" s="10">
        <f t="shared" si="4"/>
        <v>3666.2150000000001</v>
      </c>
      <c r="C25" s="10">
        <f t="shared" si="5"/>
        <v>1047.4900000000002</v>
      </c>
      <c r="D25" s="114">
        <f t="shared" si="3"/>
        <v>523.74500000000012</v>
      </c>
    </row>
    <row r="26" spans="1:6" x14ac:dyDescent="0.2">
      <c r="B26" s="10"/>
      <c r="C26" s="10"/>
      <c r="D26" s="108"/>
    </row>
    <row r="27" spans="1:6" ht="16" x14ac:dyDescent="0.2">
      <c r="A27" s="72"/>
      <c r="B27" s="10"/>
      <c r="C27" s="10"/>
      <c r="D27" s="108"/>
    </row>
    <row r="28" spans="1:6" x14ac:dyDescent="0.2">
      <c r="A28" s="9" t="s">
        <v>42</v>
      </c>
      <c r="B28" s="10"/>
      <c r="C28" s="10"/>
      <c r="D28" s="108"/>
    </row>
    <row r="29" spans="1:6" x14ac:dyDescent="0.2">
      <c r="A29" s="83" t="s">
        <v>43</v>
      </c>
      <c r="B29" s="10">
        <f>B2*2</f>
        <v>2738.12</v>
      </c>
      <c r="C29" s="10">
        <f>B29-B8</f>
        <v>1026.7950000000001</v>
      </c>
      <c r="D29" s="114">
        <f t="shared" si="3"/>
        <v>513.39750000000004</v>
      </c>
    </row>
    <row r="30" spans="1:6" x14ac:dyDescent="0.2">
      <c r="A30" s="83" t="s">
        <v>44</v>
      </c>
      <c r="B30" s="10">
        <f t="shared" ref="B30:B32" si="6">B3*2</f>
        <v>3991.6</v>
      </c>
      <c r="C30" s="10">
        <f t="shared" ref="C30:C32" si="7">B30-B9</f>
        <v>1496.85</v>
      </c>
      <c r="D30" s="114">
        <f t="shared" si="3"/>
        <v>748.42499999999995</v>
      </c>
    </row>
    <row r="31" spans="1:6" x14ac:dyDescent="0.2">
      <c r="A31" s="83" t="s">
        <v>45</v>
      </c>
      <c r="B31" s="10">
        <f t="shared" si="6"/>
        <v>3060.42</v>
      </c>
      <c r="C31" s="10">
        <f t="shared" si="7"/>
        <v>1147.6575</v>
      </c>
      <c r="D31" s="114">
        <f t="shared" si="3"/>
        <v>573.82875000000001</v>
      </c>
    </row>
    <row r="32" spans="1:6" x14ac:dyDescent="0.2">
      <c r="A32" s="83" t="s">
        <v>46</v>
      </c>
      <c r="B32" s="10">
        <f t="shared" si="6"/>
        <v>4189.96</v>
      </c>
      <c r="C32" s="10">
        <f t="shared" si="7"/>
        <v>1571.2350000000001</v>
      </c>
      <c r="D32" s="114">
        <f t="shared" si="3"/>
        <v>785.61750000000006</v>
      </c>
    </row>
    <row r="33" spans="1:4" ht="16" x14ac:dyDescent="0.2">
      <c r="A33" s="72"/>
      <c r="B33" s="85"/>
      <c r="C33" s="11"/>
    </row>
    <row r="34" spans="1:4" ht="16" x14ac:dyDescent="0.2">
      <c r="A34" s="72"/>
      <c r="B34" s="85"/>
      <c r="C34" s="11"/>
    </row>
    <row r="35" spans="1:4" x14ac:dyDescent="0.2">
      <c r="A35" s="83" t="s">
        <v>91</v>
      </c>
      <c r="B35" s="83"/>
      <c r="C35" s="83"/>
      <c r="D35" s="108">
        <f>IF(Input!$C$11&lt;1.25,0,(((Input!$C$11*'Aannames over draagkracht'!B2)-'Aannames over draagkracht'!B8)/2))</f>
        <v>34.226500000000101</v>
      </c>
    </row>
    <row r="36" spans="1:4" x14ac:dyDescent="0.2">
      <c r="A36" s="83" t="s">
        <v>92</v>
      </c>
      <c r="B36" s="83"/>
      <c r="C36" s="83"/>
      <c r="D36" s="108">
        <f>IF(Input!$C$11&lt;1.25,0,(((Input!$C$11*'Aannames over draagkracht'!B3)-'Aannames over draagkracht'!B9)/2))</f>
        <v>49.894999999999982</v>
      </c>
    </row>
    <row r="37" spans="1:4" x14ac:dyDescent="0.2">
      <c r="A37" s="83" t="s">
        <v>93</v>
      </c>
      <c r="B37" s="83"/>
      <c r="C37" s="83"/>
      <c r="D37" s="108">
        <f>IF(Input!$C$11&lt;1.25,0,(((Input!$C$11*'Aannames over draagkracht'!B4)-'Aannames over draagkracht'!B10)/2))</f>
        <v>38.255250000000046</v>
      </c>
    </row>
    <row r="38" spans="1:4" x14ac:dyDescent="0.2">
      <c r="A38" s="83" t="s">
        <v>94</v>
      </c>
      <c r="B38" s="83"/>
      <c r="C38" s="83"/>
      <c r="D38" s="108">
        <f>IF(Input!$C$11&lt;1.25,0,(((Input!$C$11*'Aannames over draagkracht'!B5)-'Aannames over draagkracht'!B11)/2))</f>
        <v>52.374500000000126</v>
      </c>
    </row>
    <row r="39" spans="1:4" x14ac:dyDescent="0.2">
      <c r="A39" s="83"/>
      <c r="B39" s="83"/>
      <c r="C39" s="83"/>
    </row>
    <row r="40" spans="1:4" x14ac:dyDescent="0.2">
      <c r="A40" s="129" t="s">
        <v>95</v>
      </c>
    </row>
    <row r="42" spans="1:4" ht="16" x14ac:dyDescent="0.2">
      <c r="A42" s="73"/>
      <c r="B42" s="72"/>
    </row>
    <row r="43" spans="1:4" ht="16" x14ac:dyDescent="0.2">
      <c r="A43" s="74"/>
      <c r="B43" s="74"/>
    </row>
    <row r="44" spans="1:4" ht="16" x14ac:dyDescent="0.2">
      <c r="A44" s="72"/>
      <c r="B44" s="75"/>
    </row>
    <row r="45" spans="1:4" ht="16" x14ac:dyDescent="0.2">
      <c r="A45" s="72"/>
      <c r="B45" s="76"/>
    </row>
    <row r="46" spans="1:4" ht="16" x14ac:dyDescent="0.2">
      <c r="A46" s="72"/>
      <c r="B46" s="76"/>
    </row>
    <row r="47" spans="1:4" ht="16" x14ac:dyDescent="0.2">
      <c r="A47" s="72"/>
      <c r="B47" s="76"/>
    </row>
    <row r="48" spans="1:4" ht="16" x14ac:dyDescent="0.2">
      <c r="A48" s="72"/>
      <c r="B48" s="75"/>
    </row>
    <row r="49" spans="1:2" ht="16" x14ac:dyDescent="0.2">
      <c r="A49" s="72"/>
      <c r="B49" s="75"/>
    </row>
    <row r="50" spans="1:2" ht="16" x14ac:dyDescent="0.2">
      <c r="A50" s="72"/>
      <c r="B50" s="72"/>
    </row>
    <row r="57" spans="1:2" ht="16" x14ac:dyDescent="0.2">
      <c r="A57" s="73"/>
      <c r="B57" s="72"/>
    </row>
    <row r="58" spans="1:2" ht="16" x14ac:dyDescent="0.2">
      <c r="A58" s="74"/>
      <c r="B58" s="74"/>
    </row>
    <row r="59" spans="1:2" ht="16" x14ac:dyDescent="0.2">
      <c r="A59" s="72"/>
      <c r="B59" s="76"/>
    </row>
    <row r="60" spans="1:2" ht="16" x14ac:dyDescent="0.2">
      <c r="A60" s="72"/>
      <c r="B60" s="76"/>
    </row>
    <row r="61" spans="1:2" ht="16" x14ac:dyDescent="0.2">
      <c r="A61" s="72"/>
      <c r="B61" s="75"/>
    </row>
    <row r="62" spans="1:2" ht="16" x14ac:dyDescent="0.2">
      <c r="A62" s="72"/>
      <c r="B62" s="75"/>
    </row>
    <row r="63" spans="1:2" ht="16" x14ac:dyDescent="0.2">
      <c r="A63" s="72"/>
      <c r="B63" s="75"/>
    </row>
    <row r="64" spans="1:2" ht="16" x14ac:dyDescent="0.2">
      <c r="A64" s="72"/>
      <c r="B64" s="76"/>
    </row>
    <row r="65" spans="1:2" ht="16" x14ac:dyDescent="0.2">
      <c r="B65" s="72"/>
    </row>
    <row r="66" spans="1:2" ht="16" x14ac:dyDescent="0.2">
      <c r="B66" s="72"/>
    </row>
    <row r="67" spans="1:2" ht="16" x14ac:dyDescent="0.2">
      <c r="A67" s="72"/>
      <c r="B67" s="72"/>
    </row>
    <row r="68" spans="1:2" ht="16" x14ac:dyDescent="0.2">
      <c r="B68" s="72"/>
    </row>
    <row r="69" spans="1:2" ht="16" x14ac:dyDescent="0.2">
      <c r="A69" s="72"/>
      <c r="B69" s="72"/>
    </row>
    <row r="70" spans="1:2" ht="16" x14ac:dyDescent="0.2">
      <c r="A70" s="78"/>
      <c r="B70" s="72"/>
    </row>
    <row r="71" spans="1:2" ht="16" x14ac:dyDescent="0.2">
      <c r="A71" s="78"/>
      <c r="B71" s="72"/>
    </row>
    <row r="72" spans="1:2" ht="16" x14ac:dyDescent="0.2">
      <c r="A72" s="72"/>
      <c r="B72" s="72"/>
    </row>
    <row r="73" spans="1:2" ht="16" x14ac:dyDescent="0.2">
      <c r="A73" s="72"/>
      <c r="B73" s="72"/>
    </row>
    <row r="74" spans="1:2" ht="16" x14ac:dyDescent="0.2">
      <c r="A74" s="72"/>
      <c r="B74" s="72"/>
    </row>
    <row r="75" spans="1:2" ht="16" x14ac:dyDescent="0.2">
      <c r="B75" s="72"/>
    </row>
    <row r="76" spans="1:2" ht="16" x14ac:dyDescent="0.2">
      <c r="B76" s="72"/>
    </row>
    <row r="77" spans="1:2" ht="16" x14ac:dyDescent="0.2">
      <c r="B77" s="72"/>
    </row>
    <row r="78" spans="1:2" ht="16" x14ac:dyDescent="0.2">
      <c r="B78" s="72"/>
    </row>
    <row r="1048576" spans="1:1" ht="16" x14ac:dyDescent="0.2">
      <c r="A1048576" s="7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4D439-EA4B-014C-9EF3-7A903BD6684F}">
  <sheetPr>
    <tabColor rgb="FFFFFF00"/>
  </sheetPr>
  <dimension ref="A1"/>
  <sheetViews>
    <sheetView workbookViewId="0">
      <selection activeCell="K46" sqref="K46"/>
    </sheetView>
  </sheetViews>
  <sheetFormatPr baseColWidth="10" defaultRowHeight="15" x14ac:dyDescent="0.2"/>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E4695-C409-B64E-9EAF-5E1D07333D1E}">
  <dimension ref="A1:AC47"/>
  <sheetViews>
    <sheetView zoomScale="135" workbookViewId="0">
      <selection activeCell="B1" sqref="B1:C1048576"/>
    </sheetView>
  </sheetViews>
  <sheetFormatPr baseColWidth="10" defaultColWidth="8.83203125" defaultRowHeight="15" x14ac:dyDescent="0.2"/>
  <cols>
    <col min="1" max="1" width="12.33203125" customWidth="1"/>
    <col min="2" max="2" width="17.33203125" hidden="1" customWidth="1"/>
    <col min="3" max="3" width="10.1640625" hidden="1" customWidth="1"/>
    <col min="4" max="4" width="10.1640625" customWidth="1"/>
    <col min="5" max="5" width="11.33203125" customWidth="1"/>
    <col min="6" max="6" width="15.83203125" style="3" customWidth="1"/>
    <col min="7" max="7" width="17.1640625" customWidth="1"/>
    <col min="8" max="9" width="14.33203125" customWidth="1"/>
    <col min="10" max="10" width="15.6640625" customWidth="1"/>
    <col min="11" max="11" width="10.33203125" customWidth="1"/>
    <col min="12" max="12" width="9.1640625" customWidth="1"/>
    <col min="13" max="13" width="13.1640625" customWidth="1"/>
    <col min="14" max="15" width="16.5" customWidth="1"/>
    <col min="16" max="16" width="11.5" customWidth="1"/>
    <col min="17" max="17" width="13.5" customWidth="1"/>
    <col min="18" max="18" width="13.6640625" customWidth="1"/>
    <col min="19" max="19" width="8.1640625" customWidth="1"/>
    <col min="20" max="20" width="8.83203125" customWidth="1"/>
    <col min="21" max="21" width="9.5" customWidth="1"/>
    <col min="22" max="22" width="21.33203125" style="3" customWidth="1"/>
    <col min="23" max="23" width="20.5" customWidth="1"/>
    <col min="24" max="26" width="14.5" customWidth="1"/>
    <col min="27" max="27" width="18.1640625" style="3" customWidth="1"/>
    <col min="28" max="28" width="17.1640625" customWidth="1"/>
    <col min="29" max="29" width="14.6640625" customWidth="1"/>
  </cols>
  <sheetData>
    <row r="1" spans="1:29" ht="20" customHeight="1" thickBot="1" x14ac:dyDescent="0.25">
      <c r="N1" s="3"/>
    </row>
    <row r="2" spans="1:29" ht="21" customHeight="1" thickBot="1" x14ac:dyDescent="0.25">
      <c r="B2" s="18" t="s">
        <v>20</v>
      </c>
      <c r="C2" s="19"/>
      <c r="D2" s="26"/>
      <c r="F2" s="230" t="s">
        <v>0</v>
      </c>
      <c r="G2" s="230"/>
      <c r="H2" s="230"/>
      <c r="I2" s="230"/>
      <c r="J2" s="230"/>
      <c r="N2" s="230" t="s">
        <v>1</v>
      </c>
      <c r="O2" s="230"/>
      <c r="P2" s="230"/>
      <c r="Q2" s="230"/>
      <c r="R2" s="230"/>
      <c r="V2" s="230" t="s">
        <v>2</v>
      </c>
      <c r="W2" s="230"/>
      <c r="X2" s="230"/>
      <c r="Y2" s="230"/>
      <c r="Z2" s="230"/>
      <c r="AA2" s="229"/>
      <c r="AB2" s="229"/>
    </row>
    <row r="3" spans="1:29" x14ac:dyDescent="0.2">
      <c r="B3" s="15" t="s">
        <v>21</v>
      </c>
      <c r="C3" s="93">
        <f>Input!C5</f>
        <v>1500</v>
      </c>
      <c r="D3" s="27"/>
      <c r="F3" s="38">
        <f>Input!F5</f>
        <v>25000</v>
      </c>
      <c r="G3" s="11" t="s">
        <v>3</v>
      </c>
      <c r="H3" s="11"/>
      <c r="I3" s="11"/>
      <c r="J3" s="11"/>
      <c r="K3" s="11"/>
      <c r="L3" s="11"/>
      <c r="M3" s="11"/>
      <c r="N3" s="38">
        <f>Input!F6</f>
        <v>50000</v>
      </c>
      <c r="O3" s="11" t="s">
        <v>3</v>
      </c>
      <c r="P3" s="11"/>
      <c r="Q3" s="11"/>
      <c r="R3" s="11"/>
      <c r="S3" s="11"/>
      <c r="T3" s="11"/>
      <c r="U3" s="11"/>
      <c r="V3" s="39">
        <f>Input!F7</f>
        <v>75000</v>
      </c>
      <c r="W3" s="11" t="s">
        <v>4</v>
      </c>
      <c r="X3" s="11"/>
      <c r="Y3" s="11"/>
      <c r="Z3" s="11"/>
      <c r="AA3" s="10"/>
      <c r="AB3" s="11"/>
    </row>
    <row r="4" spans="1:29" x14ac:dyDescent="0.2">
      <c r="B4" s="15" t="s">
        <v>22</v>
      </c>
      <c r="C4" s="94">
        <f>Input!C6</f>
        <v>2500</v>
      </c>
      <c r="F4" s="54">
        <f>Input!G5</f>
        <v>35</v>
      </c>
      <c r="G4" s="36" t="s">
        <v>5</v>
      </c>
      <c r="H4" s="36"/>
      <c r="I4" s="36"/>
      <c r="J4" s="36"/>
      <c r="K4" s="36"/>
      <c r="L4" s="36"/>
      <c r="M4" s="36"/>
      <c r="N4" s="55">
        <f>Input!G6</f>
        <v>55</v>
      </c>
      <c r="O4" s="36" t="s">
        <v>5</v>
      </c>
      <c r="P4" s="36"/>
      <c r="Q4" s="36"/>
      <c r="R4" s="36"/>
      <c r="S4" s="36"/>
      <c r="T4" s="36"/>
      <c r="U4" s="36"/>
      <c r="V4" s="56">
        <f>Input!G7</f>
        <v>70</v>
      </c>
      <c r="W4" t="s">
        <v>5</v>
      </c>
    </row>
    <row r="5" spans="1:29" ht="16" thickBot="1" x14ac:dyDescent="0.25">
      <c r="A5" s="9"/>
      <c r="B5" s="16" t="s">
        <v>23</v>
      </c>
      <c r="C5" s="95">
        <f>Input!C7</f>
        <v>0</v>
      </c>
      <c r="F5" s="37">
        <f>SUM($C$3:$C$5)</f>
        <v>4000</v>
      </c>
      <c r="G5" t="s">
        <v>28</v>
      </c>
      <c r="N5" s="37">
        <f>SUM($C$3:$C$5)</f>
        <v>4000</v>
      </c>
      <c r="O5" t="s">
        <v>28</v>
      </c>
      <c r="V5" s="37">
        <f>SUM($C$3:$C$5)</f>
        <v>4000</v>
      </c>
      <c r="W5" t="s">
        <v>28</v>
      </c>
      <c r="X5" s="9"/>
      <c r="Y5" s="9"/>
      <c r="Z5" s="9"/>
      <c r="AA5" s="12"/>
      <c r="AB5" s="9"/>
    </row>
    <row r="6" spans="1:29" ht="16" thickBot="1" x14ac:dyDescent="0.25">
      <c r="B6" s="30" t="s">
        <v>24</v>
      </c>
      <c r="C6" s="96">
        <f>Input!C10</f>
        <v>0</v>
      </c>
      <c r="D6" s="28"/>
      <c r="F6" s="38">
        <f>F3-F5</f>
        <v>21000</v>
      </c>
      <c r="G6" s="11" t="s">
        <v>27</v>
      </c>
      <c r="H6" s="9"/>
      <c r="I6" s="9"/>
      <c r="N6" s="38">
        <f>N3-N5</f>
        <v>46000</v>
      </c>
      <c r="O6" s="11" t="s">
        <v>27</v>
      </c>
      <c r="V6" s="39">
        <f>V3-V5</f>
        <v>71000</v>
      </c>
      <c r="W6" s="11" t="s">
        <v>27</v>
      </c>
    </row>
    <row r="7" spans="1:29" ht="16" thickBot="1" x14ac:dyDescent="0.25">
      <c r="C7" s="49"/>
      <c r="D7" s="28"/>
      <c r="F7" s="22">
        <f>$C$9*F6</f>
        <v>21000</v>
      </c>
      <c r="G7" s="11" t="s">
        <v>67</v>
      </c>
      <c r="H7" s="4"/>
      <c r="I7" s="4"/>
      <c r="J7" s="9"/>
      <c r="K7" s="9"/>
      <c r="L7" s="9"/>
      <c r="M7" s="9"/>
      <c r="N7" s="22">
        <f>$C$9*N6</f>
        <v>46000</v>
      </c>
      <c r="O7" s="11" t="s">
        <v>67</v>
      </c>
      <c r="P7" s="9"/>
      <c r="Q7" s="9"/>
      <c r="R7" s="9"/>
      <c r="S7" s="9"/>
      <c r="T7" s="9"/>
      <c r="U7" s="9"/>
      <c r="V7" s="22">
        <f>$C$9*V6</f>
        <v>71000</v>
      </c>
      <c r="W7" s="11" t="s">
        <v>67</v>
      </c>
      <c r="AA7" s="20"/>
    </row>
    <row r="8" spans="1:29" ht="16" thickBot="1" x14ac:dyDescent="0.25">
      <c r="B8" s="227" t="s">
        <v>71</v>
      </c>
      <c r="C8" s="228"/>
      <c r="D8" s="29"/>
      <c r="F8" s="22">
        <f>IFERROR(PMT($C$10/12,$C$13*12,-F7),0)</f>
        <v>96.659426789154338</v>
      </c>
      <c r="G8" s="11" t="s">
        <v>72</v>
      </c>
      <c r="H8" s="1"/>
      <c r="I8" s="1"/>
      <c r="J8" s="4"/>
      <c r="K8" s="4"/>
      <c r="L8" s="4"/>
      <c r="M8" s="4"/>
      <c r="N8" s="22">
        <f>IFERROR(PMT($C$10/12,$C$13*12,-N7),0)</f>
        <v>211.73017296671904</v>
      </c>
      <c r="O8" s="11" t="s">
        <v>72</v>
      </c>
      <c r="V8" s="22">
        <f>IFERROR(PMT($C$10/12,$C$13*12,-V7),0)</f>
        <v>326.80091914428368</v>
      </c>
      <c r="W8" s="11" t="s">
        <v>72</v>
      </c>
      <c r="AA8" s="22"/>
    </row>
    <row r="9" spans="1:29" ht="18" customHeight="1" x14ac:dyDescent="0.2">
      <c r="B9" s="87" t="s">
        <v>67</v>
      </c>
      <c r="C9" s="97">
        <f>Input!C14</f>
        <v>1</v>
      </c>
      <c r="F9" s="22">
        <f>$C$14*F6</f>
        <v>0</v>
      </c>
      <c r="G9" s="11" t="s">
        <v>69</v>
      </c>
      <c r="J9" s="1"/>
      <c r="K9" s="1"/>
      <c r="L9" s="1"/>
      <c r="M9" s="1"/>
      <c r="N9" s="22">
        <f>$C$14*N6</f>
        <v>0</v>
      </c>
      <c r="O9" s="11" t="s">
        <v>69</v>
      </c>
      <c r="P9" s="1"/>
      <c r="Q9" s="1"/>
      <c r="R9" s="1"/>
      <c r="S9" s="1"/>
      <c r="T9" s="1"/>
      <c r="U9" s="1"/>
      <c r="V9" s="22">
        <f>$C$14*V6</f>
        <v>0</v>
      </c>
      <c r="W9" s="11" t="s">
        <v>69</v>
      </c>
      <c r="X9" s="1"/>
      <c r="Y9" s="1"/>
      <c r="Z9" s="1"/>
      <c r="AA9" s="23"/>
      <c r="AB9" s="1"/>
    </row>
    <row r="10" spans="1:29" s="1" customFormat="1" x14ac:dyDescent="0.2">
      <c r="B10" s="88" t="s">
        <v>68</v>
      </c>
      <c r="C10" s="98">
        <f>Input!C15</f>
        <v>3.6999999999999998E-2</v>
      </c>
      <c r="D10"/>
      <c r="E10"/>
      <c r="F10" s="22">
        <f>IFERROR(PMT($C$15/12,$C$16*12,-F9),0)</f>
        <v>0</v>
      </c>
      <c r="G10" s="11" t="s">
        <v>73</v>
      </c>
      <c r="H10"/>
      <c r="I10"/>
      <c r="N10" s="22">
        <f>IFERROR(PMT($C$15/12,$C$16*12,-N9),0)</f>
        <v>0</v>
      </c>
      <c r="O10" s="11" t="s">
        <v>73</v>
      </c>
      <c r="V10" s="22">
        <f>IFERROR(PMT($C$15/12,$C$16*12,-V9),0)</f>
        <v>0</v>
      </c>
      <c r="W10" s="11" t="s">
        <v>73</v>
      </c>
    </row>
    <row r="11" spans="1:29" s="1" customFormat="1" x14ac:dyDescent="0.2">
      <c r="B11" s="88"/>
      <c r="C11" s="98"/>
      <c r="D11"/>
      <c r="E11"/>
      <c r="F11" s="22"/>
      <c r="G11" s="11"/>
      <c r="H11"/>
      <c r="I11"/>
      <c r="N11" s="22"/>
      <c r="O11" s="11"/>
      <c r="V11" s="22"/>
      <c r="W11" s="11"/>
    </row>
    <row r="12" spans="1:29" s="1" customFormat="1" x14ac:dyDescent="0.2">
      <c r="B12" s="88"/>
      <c r="C12" s="98"/>
      <c r="D12"/>
      <c r="E12"/>
      <c r="F12" s="22">
        <f>Input!$C$23/66</f>
        <v>150</v>
      </c>
      <c r="G12" s="11" t="s">
        <v>104</v>
      </c>
      <c r="H12"/>
      <c r="I12"/>
      <c r="N12" s="22">
        <f>Input!$C$23/66</f>
        <v>150</v>
      </c>
      <c r="O12" s="11" t="s">
        <v>104</v>
      </c>
      <c r="V12" s="22">
        <f>Input!$C$23/66</f>
        <v>150</v>
      </c>
      <c r="W12" s="11" t="s">
        <v>104</v>
      </c>
    </row>
    <row r="13" spans="1:29" ht="44" customHeight="1" thickBot="1" x14ac:dyDescent="0.25">
      <c r="B13" s="89" t="s">
        <v>74</v>
      </c>
      <c r="C13" s="99">
        <f>Input!C16</f>
        <v>30</v>
      </c>
      <c r="J13" s="1"/>
      <c r="K13" s="1"/>
      <c r="L13" s="1"/>
      <c r="M13" s="1"/>
      <c r="N13" s="3"/>
      <c r="P13" s="1"/>
      <c r="Q13" s="1"/>
      <c r="R13" s="1"/>
      <c r="S13" s="1"/>
      <c r="T13" s="1"/>
      <c r="U13" s="1"/>
      <c r="X13" s="1"/>
      <c r="Y13" s="1"/>
      <c r="Z13" s="1"/>
      <c r="AA13" s="5"/>
      <c r="AB13" s="6"/>
      <c r="AC13" s="6"/>
    </row>
    <row r="14" spans="1:29" x14ac:dyDescent="0.2">
      <c r="B14" s="88" t="s">
        <v>69</v>
      </c>
      <c r="C14" s="98">
        <f>Input!C17</f>
        <v>0</v>
      </c>
      <c r="F14" s="21">
        <f>F8+F10</f>
        <v>96.659426789154338</v>
      </c>
      <c r="G14" t="s">
        <v>29</v>
      </c>
      <c r="J14" s="1"/>
      <c r="K14" s="1"/>
      <c r="L14" s="1"/>
      <c r="M14" s="1"/>
      <c r="N14" s="21">
        <f>N8+N10</f>
        <v>211.73017296671904</v>
      </c>
      <c r="O14" t="s">
        <v>29</v>
      </c>
      <c r="P14" s="1"/>
      <c r="Q14" s="1"/>
      <c r="R14" s="1"/>
      <c r="S14" s="1"/>
      <c r="T14" s="1"/>
      <c r="U14" s="1"/>
      <c r="V14" s="21">
        <f>V8+V10</f>
        <v>326.80091914428368</v>
      </c>
      <c r="W14" t="s">
        <v>29</v>
      </c>
      <c r="X14" s="1"/>
      <c r="Y14" s="1"/>
      <c r="Z14" s="1"/>
      <c r="AB14" s="3"/>
      <c r="AC14" s="3"/>
    </row>
    <row r="15" spans="1:29" x14ac:dyDescent="0.2">
      <c r="B15" s="88" t="s">
        <v>70</v>
      </c>
      <c r="C15" s="100">
        <f>Input!C18</f>
        <v>0</v>
      </c>
      <c r="F15" s="31">
        <f>F14-F4</f>
        <v>61.659426789154338</v>
      </c>
      <c r="G15" s="1" t="s">
        <v>6</v>
      </c>
      <c r="J15" s="1"/>
      <c r="K15" s="1"/>
      <c r="L15" s="1"/>
      <c r="M15" s="1"/>
      <c r="N15" s="31">
        <f>N14-N4</f>
        <v>156.73017296671904</v>
      </c>
      <c r="O15" s="1" t="s">
        <v>6</v>
      </c>
      <c r="P15" s="1"/>
      <c r="Q15" s="1"/>
      <c r="R15" s="1"/>
      <c r="S15" s="1"/>
      <c r="T15" s="1"/>
      <c r="U15" s="1"/>
      <c r="V15" s="31">
        <f>V14-V4</f>
        <v>256.80091914428368</v>
      </c>
      <c r="W15" s="1" t="s">
        <v>6</v>
      </c>
      <c r="X15" s="1"/>
      <c r="Y15" s="1"/>
      <c r="Z15" s="1"/>
      <c r="AB15" s="3"/>
      <c r="AC15" s="3"/>
    </row>
    <row r="16" spans="1:29" ht="16" thickBot="1" x14ac:dyDescent="0.25">
      <c r="B16" s="89" t="s">
        <v>75</v>
      </c>
      <c r="C16" s="99">
        <f>Input!C19</f>
        <v>0</v>
      </c>
      <c r="F16" s="31"/>
      <c r="G16" s="1"/>
      <c r="J16" s="1"/>
      <c r="K16" s="1"/>
      <c r="L16" s="1"/>
      <c r="M16" s="1"/>
      <c r="P16" s="1"/>
      <c r="Q16" s="1"/>
      <c r="R16" s="1"/>
      <c r="S16" s="1"/>
      <c r="T16" s="1"/>
      <c r="U16" s="1"/>
      <c r="X16" s="1"/>
      <c r="Y16" s="1"/>
      <c r="Z16" s="1"/>
      <c r="AB16" s="3"/>
      <c r="AC16" s="3"/>
    </row>
    <row r="17" spans="2:29" x14ac:dyDescent="0.2">
      <c r="B17" s="1"/>
      <c r="C17" s="1"/>
      <c r="D17" s="1"/>
      <c r="E17" s="1"/>
      <c r="F17" s="1"/>
      <c r="G17" s="1"/>
      <c r="H17" s="1"/>
      <c r="I17" s="1"/>
      <c r="J17" s="1"/>
      <c r="K17" s="1"/>
      <c r="L17" s="1"/>
      <c r="M17" s="1"/>
      <c r="N17" s="1"/>
      <c r="O17" s="1"/>
      <c r="P17" s="1"/>
      <c r="Q17" s="1"/>
      <c r="R17" s="1"/>
      <c r="S17" s="1"/>
      <c r="T17" s="1"/>
      <c r="U17" s="1"/>
      <c r="V17" s="1"/>
      <c r="W17" s="1"/>
      <c r="X17" s="1"/>
      <c r="Y17" s="1"/>
      <c r="Z17" s="1"/>
      <c r="AB17" s="3"/>
      <c r="AC17" s="3"/>
    </row>
    <row r="18" spans="2:29" s="1" customFormat="1" ht="69" customHeight="1" x14ac:dyDescent="0.2">
      <c r="B18"/>
      <c r="C18"/>
      <c r="D18"/>
      <c r="E18"/>
      <c r="F18" s="32" t="s">
        <v>7</v>
      </c>
      <c r="G18" s="33" t="s">
        <v>25</v>
      </c>
      <c r="H18" s="33" t="s">
        <v>85</v>
      </c>
      <c r="I18" s="33" t="s">
        <v>84</v>
      </c>
      <c r="J18" s="34" t="s">
        <v>26</v>
      </c>
      <c r="K18" s="6"/>
      <c r="L18" s="6"/>
      <c r="M18" s="6"/>
      <c r="N18" s="32" t="s">
        <v>7</v>
      </c>
      <c r="O18" s="33" t="s">
        <v>25</v>
      </c>
      <c r="P18" s="33" t="s">
        <v>85</v>
      </c>
      <c r="Q18" s="33" t="s">
        <v>84</v>
      </c>
      <c r="R18" s="34" t="s">
        <v>26</v>
      </c>
      <c r="S18" s="6"/>
      <c r="T18" s="6"/>
      <c r="U18" s="6"/>
      <c r="V18" s="32" t="s">
        <v>7</v>
      </c>
      <c r="W18" s="33" t="s">
        <v>25</v>
      </c>
      <c r="X18" s="33" t="s">
        <v>85</v>
      </c>
      <c r="Y18" s="33" t="s">
        <v>84</v>
      </c>
      <c r="Z18" s="34" t="s">
        <v>26</v>
      </c>
      <c r="AA18" s="3"/>
      <c r="AB18" s="3"/>
      <c r="AC18" s="3"/>
    </row>
    <row r="19" spans="2:29" x14ac:dyDescent="0.2">
      <c r="D19" s="28"/>
      <c r="E19" s="11" t="s">
        <v>8</v>
      </c>
      <c r="F19" s="22">
        <f>IF(F$8&lt;F12,F$8,F12)</f>
        <v>96.659426789154338</v>
      </c>
      <c r="G19" s="22">
        <f>F$15-F19</f>
        <v>-35</v>
      </c>
      <c r="H19" s="22" cm="1">
        <f t="array" ref="H19">_xlfn.IFS(G19&lt;=0,0,AND(G19*12&gt;0,G19*12&lt;$C$6),G19*12,G19*12&gt;$C$6,$C$6)</f>
        <v>0</v>
      </c>
      <c r="I19" s="22">
        <f>IF(SUM(H$19:H19)&lt;$C$6,SUM(H$19:H19),$C$6)</f>
        <v>0</v>
      </c>
      <c r="J19" s="40" cm="1">
        <f t="array" ref="J19">_xlfn.IFS(I19&lt;$C$6,0,G19&lt;0,0,I19=$C$6,G19)</f>
        <v>0</v>
      </c>
      <c r="K19" s="3"/>
      <c r="L19" s="3"/>
      <c r="M19" s="11" t="s">
        <v>8</v>
      </c>
      <c r="N19" s="22">
        <f>IF(N$8&lt;N12,N$8,N12)</f>
        <v>150</v>
      </c>
      <c r="O19" s="22">
        <f>N$15-N19</f>
        <v>6.7301729667190386</v>
      </c>
      <c r="P19" s="22" cm="1">
        <f t="array" ref="P19">_xlfn.IFS(O19&lt;=0,0,AND(O19*12&gt;0,O19*12&lt;$C$6),O19*12,O19*12&gt;$C$6,$C$6)</f>
        <v>0</v>
      </c>
      <c r="Q19" s="22">
        <f>IF(SUM(P$19:P19)&lt;$C$6,SUM(P$19:P19),$C$6)</f>
        <v>0</v>
      </c>
      <c r="R19" s="40" cm="1">
        <f t="array" ref="R19">_xlfn.IFS(Q19&lt;$C$6,0,O19&lt;0,0,Q19=$C$6,O19)</f>
        <v>6.7301729667190386</v>
      </c>
      <c r="S19" s="3"/>
      <c r="T19" s="3"/>
      <c r="U19" s="11" t="s">
        <v>8</v>
      </c>
      <c r="V19" s="22">
        <f>IF(V$8&lt;V12,V$8,V12)</f>
        <v>150</v>
      </c>
      <c r="W19" s="22">
        <f>V$15-V19</f>
        <v>106.80091914428368</v>
      </c>
      <c r="X19" s="22" cm="1">
        <f t="array" ref="X19">_xlfn.IFS(W19&lt;=0,0,AND(W19*12&gt;0,W19*12&lt;$C$6),W19*12,W19*12&gt;$C$6,$C$6)</f>
        <v>0</v>
      </c>
      <c r="Y19" s="22">
        <f>IF(SUM(X$19:X19)&lt;$C$6,SUM(X$19:X19),$C$6)</f>
        <v>0</v>
      </c>
      <c r="Z19" s="40" cm="1">
        <f t="array" ref="Z19">_xlfn.IFS(Y19&lt;$C$6,0,W19&lt;0,0,Y19=$C$6,W19)</f>
        <v>106.80091914428368</v>
      </c>
      <c r="AB19" s="3"/>
      <c r="AC19" s="3"/>
    </row>
    <row r="20" spans="2:29" x14ac:dyDescent="0.2">
      <c r="D20" s="28"/>
      <c r="E20" s="11" t="s">
        <v>9</v>
      </c>
      <c r="F20" s="22">
        <f>F$19*0.9</f>
        <v>86.99348411023891</v>
      </c>
      <c r="G20" s="22">
        <f t="shared" ref="G20:G28" si="0">F$15-F20</f>
        <v>-25.334057321084572</v>
      </c>
      <c r="H20" s="22" cm="1">
        <f t="array" ref="H20">_xlfn.IFS(G20&lt;=0,0,AND(G20*12&gt;0,G20*12&lt;$C$6),G20*12,G20*12&gt;$C$6,$C$6)</f>
        <v>0</v>
      </c>
      <c r="I20" s="22">
        <f>IF(SUM(H$19:H20)&lt;$C$6,SUM(H$19:H20),$C$6)</f>
        <v>0</v>
      </c>
      <c r="J20" s="40" cm="1">
        <f t="array" ref="J20">_xlfn.IFS(I20&lt;$C$6,0,G20&lt;0,0,I20=$C$6,G20)</f>
        <v>0</v>
      </c>
      <c r="K20" s="3"/>
      <c r="L20" s="3"/>
      <c r="M20" s="11" t="s">
        <v>9</v>
      </c>
      <c r="N20" s="22">
        <f>N$19*0.9</f>
        <v>135</v>
      </c>
      <c r="O20" s="22">
        <f t="shared" ref="O20:O28" si="1">N$15-N20</f>
        <v>21.730172966719039</v>
      </c>
      <c r="P20" s="22" cm="1">
        <f t="array" ref="P20">_xlfn.IFS(O20&lt;=0,0,AND(O20*12&gt;0,O20*12&lt;$C$6),O20*12,O20*12&gt;$C$6,$C$6)</f>
        <v>0</v>
      </c>
      <c r="Q20" s="22">
        <f>IF(SUM(P$19:P20)&lt;$C$6,SUM(P$19:P20),$C$6)</f>
        <v>0</v>
      </c>
      <c r="R20" s="40" cm="1">
        <f t="array" ref="R20">_xlfn.IFS(Q20&lt;$C$6,0,O20&lt;0,0,Q20=$C$6,O20)</f>
        <v>21.730172966719039</v>
      </c>
      <c r="S20" s="3"/>
      <c r="T20" s="3"/>
      <c r="U20" s="11" t="s">
        <v>9</v>
      </c>
      <c r="V20" s="22">
        <f>V$19*0.9</f>
        <v>135</v>
      </c>
      <c r="W20" s="22">
        <f t="shared" ref="W20:W28" si="2">V$15-V20</f>
        <v>121.80091914428368</v>
      </c>
      <c r="X20" s="22" cm="1">
        <f t="array" ref="X20">_xlfn.IFS(W20&lt;=0,0,AND(W20*12&gt;0,W20*12&lt;$C$6),W20*12,W20*12&gt;$C$6,$C$6)</f>
        <v>0</v>
      </c>
      <c r="Y20" s="22">
        <f>IF(SUM(X$19:X20)&lt;$C$6,SUM(X$19:X20),$C$6)</f>
        <v>0</v>
      </c>
      <c r="Z20" s="40" cm="1">
        <f t="array" ref="Z20">_xlfn.IFS(Y20&lt;$C$6,0,W20&lt;0,0,Y20=$C$6,W20)</f>
        <v>121.80091914428368</v>
      </c>
      <c r="AB20" s="3"/>
      <c r="AC20" s="3"/>
    </row>
    <row r="21" spans="2:29" x14ac:dyDescent="0.2">
      <c r="D21" s="29"/>
      <c r="E21" s="11" t="s">
        <v>10</v>
      </c>
      <c r="F21" s="22">
        <f>F$19*0.8</f>
        <v>77.327541431323482</v>
      </c>
      <c r="G21" s="22">
        <f t="shared" si="0"/>
        <v>-15.668114642169144</v>
      </c>
      <c r="H21" s="22" cm="1">
        <f t="array" ref="H21">_xlfn.IFS(G21&lt;=0,0,AND(G21*12&gt;0,G21*12&lt;$C$6),G21*12,G21*12&gt;$C$6,$C$6)</f>
        <v>0</v>
      </c>
      <c r="I21" s="22">
        <f>IF(SUM(H$19:H21)&lt;$C$6,SUM(H$19:H21),$C$6)</f>
        <v>0</v>
      </c>
      <c r="J21" s="40" cm="1">
        <f t="array" ref="J21">_xlfn.IFS(I21&lt;$C$6,0,G21&lt;0,0,I21=$C$6,G21)</f>
        <v>0</v>
      </c>
      <c r="K21" s="3"/>
      <c r="L21" s="3"/>
      <c r="M21" s="11" t="s">
        <v>10</v>
      </c>
      <c r="N21" s="22">
        <f>N$19*0.8</f>
        <v>120</v>
      </c>
      <c r="O21" s="22">
        <f t="shared" si="1"/>
        <v>36.730172966719039</v>
      </c>
      <c r="P21" s="22" cm="1">
        <f t="array" ref="P21">_xlfn.IFS(O21&lt;=0,0,AND(O21*12&gt;0,O21*12&lt;$C$6),O21*12,O21*12&gt;$C$6,$C$6)</f>
        <v>0</v>
      </c>
      <c r="Q21" s="22">
        <f>IF(SUM(P$19:P21)&lt;$C$6,SUM(P$19:P21),$C$6)</f>
        <v>0</v>
      </c>
      <c r="R21" s="40" cm="1">
        <f t="array" ref="R21">_xlfn.IFS(Q21&lt;$C$6,0,O21&lt;0,0,Q21=$C$6,O21)</f>
        <v>36.730172966719039</v>
      </c>
      <c r="S21" s="3"/>
      <c r="T21" s="3"/>
      <c r="U21" s="11" t="s">
        <v>10</v>
      </c>
      <c r="V21" s="22">
        <f>V$19*0.8</f>
        <v>120</v>
      </c>
      <c r="W21" s="22">
        <f t="shared" si="2"/>
        <v>136.80091914428368</v>
      </c>
      <c r="X21" s="22" cm="1">
        <f t="array" ref="X21">_xlfn.IFS(W21&lt;=0,0,AND(W21*12&gt;0,W21*12&lt;$C$6),W21*12,W21*12&gt;$C$6,$C$6)</f>
        <v>0</v>
      </c>
      <c r="Y21" s="22">
        <f>IF(SUM(X$19:X21)&lt;$C$6,SUM(X$19:X21),$C$6)</f>
        <v>0</v>
      </c>
      <c r="Z21" s="40" cm="1">
        <f t="array" ref="Z21">_xlfn.IFS(Y21&lt;$C$6,0,W21&lt;0,0,Y21=$C$6,W21)</f>
        <v>136.80091914428368</v>
      </c>
      <c r="AB21" s="3"/>
      <c r="AC21" s="3"/>
    </row>
    <row r="22" spans="2:29" x14ac:dyDescent="0.2">
      <c r="E22" s="11" t="s">
        <v>11</v>
      </c>
      <c r="F22" s="22">
        <f>F$19*0.7</f>
        <v>67.661598752408025</v>
      </c>
      <c r="G22" s="22">
        <f t="shared" si="0"/>
        <v>-6.0021719632536872</v>
      </c>
      <c r="H22" s="22" cm="1">
        <f t="array" ref="H22">_xlfn.IFS(G22&lt;=0,0,AND(G22*12&gt;0,G22*12&lt;$C$6),G22*12,G22*12&gt;$C$6,$C$6)</f>
        <v>0</v>
      </c>
      <c r="I22" s="22">
        <f>IF(SUM(H$19:H22)&lt;$C$6,SUM(H$19:H22),$C$6)</f>
        <v>0</v>
      </c>
      <c r="J22" s="40" cm="1">
        <f t="array" ref="J22">_xlfn.IFS(I22&lt;$C$6,0,G22&lt;0,0,I22=$C$6,G22)</f>
        <v>0</v>
      </c>
      <c r="K22" s="3"/>
      <c r="L22" s="3"/>
      <c r="M22" s="11" t="s">
        <v>11</v>
      </c>
      <c r="N22" s="22">
        <f>N$19*0.7</f>
        <v>105</v>
      </c>
      <c r="O22" s="22">
        <f t="shared" si="1"/>
        <v>51.730172966719039</v>
      </c>
      <c r="P22" s="22" cm="1">
        <f t="array" ref="P22">_xlfn.IFS(O22&lt;=0,0,AND(O22*12&gt;0,O22*12&lt;$C$6),O22*12,O22*12&gt;$C$6,$C$6)</f>
        <v>0</v>
      </c>
      <c r="Q22" s="22">
        <f>IF(SUM(P$19:P22)&lt;$C$6,SUM(P$19:P22),$C$6)</f>
        <v>0</v>
      </c>
      <c r="R22" s="40" cm="1">
        <f t="array" ref="R22">_xlfn.IFS(Q22&lt;$C$6,0,O22&lt;0,0,Q22=$C$6,O22)</f>
        <v>51.730172966719039</v>
      </c>
      <c r="S22" s="3"/>
      <c r="T22" s="3"/>
      <c r="U22" s="11" t="s">
        <v>11</v>
      </c>
      <c r="V22" s="22">
        <f>V$19*0.7</f>
        <v>105</v>
      </c>
      <c r="W22" s="22">
        <f t="shared" si="2"/>
        <v>151.80091914428368</v>
      </c>
      <c r="X22" s="22" cm="1">
        <f t="array" ref="X22">_xlfn.IFS(W22&lt;=0,0,AND(W22*12&gt;0,W22*12&lt;$C$6),W22*12,W22*12&gt;$C$6,$C$6)</f>
        <v>0</v>
      </c>
      <c r="Y22" s="22">
        <f>IF(SUM(X$19:X22)&lt;$C$6,SUM(X$19:X22),$C$6)</f>
        <v>0</v>
      </c>
      <c r="Z22" s="40" cm="1">
        <f t="array" ref="Z22">_xlfn.IFS(Y22&lt;$C$6,0,W22&lt;0,0,Y22=$C$6,W22)</f>
        <v>151.80091914428368</v>
      </c>
      <c r="AB22" s="3"/>
      <c r="AC22" s="3"/>
    </row>
    <row r="23" spans="2:29" x14ac:dyDescent="0.2">
      <c r="B23" s="1"/>
      <c r="C23" s="1"/>
      <c r="D23" s="1"/>
      <c r="E23" s="11" t="s">
        <v>12</v>
      </c>
      <c r="F23" s="22">
        <f>F$19*0.6</f>
        <v>57.995656073492597</v>
      </c>
      <c r="G23" s="22">
        <f t="shared" si="0"/>
        <v>3.663770715661741</v>
      </c>
      <c r="H23" s="22" cm="1">
        <f t="array" ref="H23">_xlfn.IFS(G23&lt;=0,0,AND(G23*12&gt;0,G23*12&lt;$C$6),G23*12,G23*12&gt;$C$6,$C$6)</f>
        <v>0</v>
      </c>
      <c r="I23" s="22">
        <f>IF(SUM(H$19:H23)&lt;$C$6,SUM(H$19:H23),$C$6)</f>
        <v>0</v>
      </c>
      <c r="J23" s="40" cm="1">
        <f t="array" ref="J23">_xlfn.IFS(I23&lt;$C$6,0,G23&lt;0,0,I23=$C$6,G23)</f>
        <v>3.663770715661741</v>
      </c>
      <c r="K23" s="3"/>
      <c r="L23" s="3"/>
      <c r="M23" s="11" t="s">
        <v>12</v>
      </c>
      <c r="N23" s="22">
        <f>N$19*0.6</f>
        <v>90</v>
      </c>
      <c r="O23" s="22">
        <f t="shared" si="1"/>
        <v>66.730172966719039</v>
      </c>
      <c r="P23" s="22" cm="1">
        <f t="array" ref="P23">_xlfn.IFS(O23&lt;=0,0,AND(O23*12&gt;0,O23*12&lt;$C$6),O23*12,O23*12&gt;$C$6,$C$6)</f>
        <v>0</v>
      </c>
      <c r="Q23" s="22">
        <f>IF(SUM(P$19:P23)&lt;$C$6,SUM(P$19:P23),$C$6)</f>
        <v>0</v>
      </c>
      <c r="R23" s="40" cm="1">
        <f t="array" ref="R23">_xlfn.IFS(Q23&lt;$C$6,0,O23&lt;0,0,Q23=$C$6,O23)</f>
        <v>66.730172966719039</v>
      </c>
      <c r="S23" s="3"/>
      <c r="T23" s="3"/>
      <c r="U23" s="11" t="s">
        <v>12</v>
      </c>
      <c r="V23" s="22">
        <f>V$19*0.6</f>
        <v>90</v>
      </c>
      <c r="W23" s="22">
        <f t="shared" si="2"/>
        <v>166.80091914428368</v>
      </c>
      <c r="X23" s="22" cm="1">
        <f t="array" ref="X23">_xlfn.IFS(W23&lt;=0,0,AND(W23*12&gt;0,W23*12&lt;$C$6),W23*12,W23*12&gt;$C$6,$C$6)</f>
        <v>0</v>
      </c>
      <c r="Y23" s="22">
        <f>IF(SUM(X$19:X23)&lt;$C$6,SUM(X$19:X23),$C$6)</f>
        <v>0</v>
      </c>
      <c r="Z23" s="40" cm="1">
        <f t="array" ref="Z23">_xlfn.IFS(Y23&lt;$C$6,0,W23&lt;0,0,Y23=$C$6,W23)</f>
        <v>166.80091914428368</v>
      </c>
      <c r="AB23" s="3"/>
      <c r="AC23" s="3"/>
    </row>
    <row r="24" spans="2:29" x14ac:dyDescent="0.2">
      <c r="E24" s="11" t="s">
        <v>13</v>
      </c>
      <c r="F24" s="22">
        <f>F$19*0.5</f>
        <v>48.329713394577169</v>
      </c>
      <c r="G24" s="22">
        <f t="shared" si="0"/>
        <v>13.329713394577169</v>
      </c>
      <c r="H24" s="22" cm="1">
        <f t="array" ref="H24">_xlfn.IFS(G24&lt;=0,0,AND(G24*12&gt;0,G24*12&lt;$C$6),G24*12,G24*12&gt;$C$6,$C$6)</f>
        <v>0</v>
      </c>
      <c r="I24" s="22">
        <f>IF(SUM(H$19:H24)&lt;$C$6,SUM(H$19:H24),$C$6)</f>
        <v>0</v>
      </c>
      <c r="J24" s="40" cm="1">
        <f t="array" ref="J24">_xlfn.IFS(I24&lt;$C$6,0,G24&lt;0,0,I24=$C$6,G24)</f>
        <v>13.329713394577169</v>
      </c>
      <c r="K24" s="3"/>
      <c r="L24" s="3"/>
      <c r="M24" s="11" t="s">
        <v>13</v>
      </c>
      <c r="N24" s="22">
        <f>N$19*0.5</f>
        <v>75</v>
      </c>
      <c r="O24" s="22">
        <f t="shared" si="1"/>
        <v>81.730172966719039</v>
      </c>
      <c r="P24" s="22" cm="1">
        <f t="array" ref="P24">_xlfn.IFS(O24&lt;=0,0,AND(O24*12&gt;0,O24*12&lt;$C$6),O24*12,O24*12&gt;$C$6,$C$6)</f>
        <v>0</v>
      </c>
      <c r="Q24" s="22">
        <f>IF(SUM(P$19:P24)&lt;$C$6,SUM(P$19:P24),$C$6)</f>
        <v>0</v>
      </c>
      <c r="R24" s="40" cm="1">
        <f t="array" ref="R24">_xlfn.IFS(Q24&lt;$C$6,0,O24&lt;0,0,Q24=$C$6,O24)</f>
        <v>81.730172966719039</v>
      </c>
      <c r="S24" s="3"/>
      <c r="T24" s="3"/>
      <c r="U24" s="11" t="s">
        <v>13</v>
      </c>
      <c r="V24" s="22">
        <f>V$19*0.5</f>
        <v>75</v>
      </c>
      <c r="W24" s="22">
        <f t="shared" si="2"/>
        <v>181.80091914428368</v>
      </c>
      <c r="X24" s="22" cm="1">
        <f t="array" ref="X24">_xlfn.IFS(W24&lt;=0,0,AND(W24*12&gt;0,W24*12&lt;$C$6),W24*12,W24*12&gt;$C$6,$C$6)</f>
        <v>0</v>
      </c>
      <c r="Y24" s="22">
        <f>IF(SUM(X$19:X24)&lt;$C$6,SUM(X$19:X24),$C$6)</f>
        <v>0</v>
      </c>
      <c r="Z24" s="40" cm="1">
        <f t="array" ref="Z24">_xlfn.IFS(Y24&lt;$C$6,0,W24&lt;0,0,Y24=$C$6,W24)</f>
        <v>181.80091914428368</v>
      </c>
      <c r="AA24" s="12"/>
      <c r="AB24" s="12"/>
      <c r="AC24" s="12"/>
    </row>
    <row r="25" spans="2:29" x14ac:dyDescent="0.2">
      <c r="E25" s="11" t="s">
        <v>14</v>
      </c>
      <c r="F25" s="22">
        <f>F$19*0.4</f>
        <v>38.663770715661741</v>
      </c>
      <c r="G25" s="22">
        <f t="shared" si="0"/>
        <v>22.995656073492597</v>
      </c>
      <c r="H25" s="22" cm="1">
        <f t="array" ref="H25">_xlfn.IFS(G25&lt;=0,0,AND(G25*12&gt;0,G25*12&lt;$C$6),G25*12,G25*12&gt;$C$6,$C$6)</f>
        <v>0</v>
      </c>
      <c r="I25" s="22">
        <f>IF(SUM(H$19:H25)&lt;$C$6,SUM(H$19:H25),$C$6)</f>
        <v>0</v>
      </c>
      <c r="J25" s="40" cm="1">
        <f t="array" ref="J25">_xlfn.IFS(I25&lt;$C$6,0,G25&lt;0,0,I25=$C$6,G25)</f>
        <v>22.995656073492597</v>
      </c>
      <c r="K25" s="3"/>
      <c r="L25" s="3"/>
      <c r="M25" s="11" t="s">
        <v>14</v>
      </c>
      <c r="N25" s="22">
        <f>N$19*0.4</f>
        <v>60</v>
      </c>
      <c r="O25" s="22">
        <f t="shared" si="1"/>
        <v>96.730172966719039</v>
      </c>
      <c r="P25" s="22" cm="1">
        <f t="array" ref="P25">_xlfn.IFS(O25&lt;=0,0,AND(O25*12&gt;0,O25*12&lt;$C$6),O25*12,O25*12&gt;$C$6,$C$6)</f>
        <v>0</v>
      </c>
      <c r="Q25" s="22">
        <f>IF(SUM(P$19:P25)&lt;$C$6,SUM(P$19:P25),$C$6)</f>
        <v>0</v>
      </c>
      <c r="R25" s="40" cm="1">
        <f t="array" ref="R25">_xlfn.IFS(Q25&lt;$C$6,0,O25&lt;0,0,Q25=$C$6,O25)</f>
        <v>96.730172966719039</v>
      </c>
      <c r="S25" s="3"/>
      <c r="T25" s="3"/>
      <c r="U25" s="11" t="s">
        <v>14</v>
      </c>
      <c r="V25" s="22">
        <f>V$19*0.4</f>
        <v>60</v>
      </c>
      <c r="W25" s="22">
        <f t="shared" si="2"/>
        <v>196.80091914428368</v>
      </c>
      <c r="X25" s="22" cm="1">
        <f t="array" ref="X25">_xlfn.IFS(W25&lt;=0,0,AND(W25*12&gt;0,W25*12&lt;$C$6),W25*12,W25*12&gt;$C$6,$C$6)</f>
        <v>0</v>
      </c>
      <c r="Y25" s="22">
        <f>IF(SUM(X$19:X25)&lt;$C$6,SUM(X$19:X25),$C$6)</f>
        <v>0</v>
      </c>
      <c r="Z25" s="40" cm="1">
        <f t="array" ref="Z25">_xlfn.IFS(Y25&lt;$C$6,0,W25&lt;0,0,Y25=$C$6,W25)</f>
        <v>196.80091914428368</v>
      </c>
      <c r="AB25" s="3"/>
      <c r="AC25" s="3"/>
    </row>
    <row r="26" spans="2:29" x14ac:dyDescent="0.2">
      <c r="E26" s="11" t="s">
        <v>15</v>
      </c>
      <c r="F26" s="22">
        <f>F$19*0.3</f>
        <v>28.997828036746299</v>
      </c>
      <c r="G26" s="22">
        <f t="shared" si="0"/>
        <v>32.66159875240804</v>
      </c>
      <c r="H26" s="22" cm="1">
        <f t="array" ref="H26">_xlfn.IFS(G26&lt;=0,0,AND(G26*12&gt;0,G26*12&lt;$C$6),G26*12,G26*12&gt;$C$6,$C$6)</f>
        <v>0</v>
      </c>
      <c r="I26" s="22">
        <f>IF(SUM(H$19:H26)&lt;$C$6,SUM(H$19:H26),$C$6)</f>
        <v>0</v>
      </c>
      <c r="J26" s="40" cm="1">
        <f t="array" ref="J26">_xlfn.IFS(I26&lt;$C$6,0,G26&lt;0,0,I26=$C$6,G26)</f>
        <v>32.66159875240804</v>
      </c>
      <c r="K26" s="3"/>
      <c r="L26" s="3"/>
      <c r="M26" s="11" t="s">
        <v>15</v>
      </c>
      <c r="N26" s="22">
        <f>N$19*0.3</f>
        <v>45</v>
      </c>
      <c r="O26" s="22">
        <f t="shared" si="1"/>
        <v>111.73017296671904</v>
      </c>
      <c r="P26" s="22" cm="1">
        <f t="array" ref="P26">_xlfn.IFS(O26&lt;=0,0,AND(O26*12&gt;0,O26*12&lt;$C$6),O26*12,O26*12&gt;$C$6,$C$6)</f>
        <v>0</v>
      </c>
      <c r="Q26" s="22">
        <f>IF(SUM(P$19:P26)&lt;$C$6,SUM(P$19:P26),$C$6)</f>
        <v>0</v>
      </c>
      <c r="R26" s="40" cm="1">
        <f t="array" ref="R26">_xlfn.IFS(Q26&lt;$C$6,0,O26&lt;0,0,Q26=$C$6,O26)</f>
        <v>111.73017296671904</v>
      </c>
      <c r="S26" s="3"/>
      <c r="T26" s="3"/>
      <c r="U26" s="11" t="s">
        <v>15</v>
      </c>
      <c r="V26" s="22">
        <f>V$19*0.3</f>
        <v>45</v>
      </c>
      <c r="W26" s="22">
        <f t="shared" si="2"/>
        <v>211.80091914428368</v>
      </c>
      <c r="X26" s="22" cm="1">
        <f t="array" ref="X26">_xlfn.IFS(W26&lt;=0,0,AND(W26*12&gt;0,W26*12&lt;$C$6),W26*12,W26*12&gt;$C$6,$C$6)</f>
        <v>0</v>
      </c>
      <c r="Y26" s="22">
        <f>IF(SUM(X$19:X26)&lt;$C$6,SUM(X$19:X26),$C$6)</f>
        <v>0</v>
      </c>
      <c r="Z26" s="40" cm="1">
        <f t="array" ref="Z26">_xlfn.IFS(Y26&lt;$C$6,0,W26&lt;0,0,Y26=$C$6,W26)</f>
        <v>211.80091914428368</v>
      </c>
      <c r="AB26" s="24"/>
      <c r="AC26" s="3"/>
    </row>
    <row r="27" spans="2:29" x14ac:dyDescent="0.2">
      <c r="E27" s="11" t="s">
        <v>16</v>
      </c>
      <c r="F27" s="22">
        <f>F$19*0.2</f>
        <v>19.33188535783087</v>
      </c>
      <c r="G27" s="22">
        <f t="shared" si="0"/>
        <v>42.327541431323468</v>
      </c>
      <c r="H27" s="22" cm="1">
        <f t="array" ref="H27">_xlfn.IFS(G27&lt;=0,0,AND(G27*12&gt;0,G27*12&lt;$C$6),G27*12,G27*12&gt;$C$6,$C$6)</f>
        <v>0</v>
      </c>
      <c r="I27" s="22">
        <f>IF(SUM(H$19:H27)&lt;$C$6,SUM(H$19:H27),$C$6)</f>
        <v>0</v>
      </c>
      <c r="J27" s="40" cm="1">
        <f t="array" ref="J27">_xlfn.IFS(I27&lt;$C$6,0,G27&lt;0,0,I27=$C$6,G27)</f>
        <v>42.327541431323468</v>
      </c>
      <c r="K27" s="3"/>
      <c r="L27" s="3"/>
      <c r="M27" s="11" t="s">
        <v>16</v>
      </c>
      <c r="N27" s="22">
        <f>N$19*0.2</f>
        <v>30</v>
      </c>
      <c r="O27" s="22">
        <f t="shared" si="1"/>
        <v>126.73017296671904</v>
      </c>
      <c r="P27" s="22" cm="1">
        <f t="array" ref="P27">_xlfn.IFS(O27&lt;=0,0,AND(O27*12&gt;0,O27*12&lt;$C$6),O27*12,O27*12&gt;$C$6,$C$6)</f>
        <v>0</v>
      </c>
      <c r="Q27" s="22">
        <f>IF(SUM(P$19:P27)&lt;$C$6,SUM(P$19:P27),$C$6)</f>
        <v>0</v>
      </c>
      <c r="R27" s="40" cm="1">
        <f t="array" ref="R27">_xlfn.IFS(Q27&lt;$C$6,0,O27&lt;0,0,Q27=$C$6,O27)</f>
        <v>126.73017296671904</v>
      </c>
      <c r="S27" s="3"/>
      <c r="T27" s="3"/>
      <c r="U27" s="11" t="s">
        <v>16</v>
      </c>
      <c r="V27" s="22">
        <f>V$19*0.2</f>
        <v>30</v>
      </c>
      <c r="W27" s="22">
        <f t="shared" si="2"/>
        <v>226.80091914428368</v>
      </c>
      <c r="X27" s="22" cm="1">
        <f t="array" ref="X27">_xlfn.IFS(W27&lt;=0,0,AND(W27*12&gt;0,W27*12&lt;$C$6),W27*12,W27*12&gt;$C$6,$C$6)</f>
        <v>0</v>
      </c>
      <c r="Y27" s="22">
        <f>IF(SUM(X$19:X27)&lt;$C$6,SUM(X$19:X27),$C$6)</f>
        <v>0</v>
      </c>
      <c r="Z27" s="40" cm="1">
        <f t="array" ref="Z27">_xlfn.IFS(Y27&lt;$C$6,0,W27&lt;0,0,Y27=$C$6,W27)</f>
        <v>226.80091914428368</v>
      </c>
    </row>
    <row r="28" spans="2:29" x14ac:dyDescent="0.2">
      <c r="E28" s="11" t="s">
        <v>17</v>
      </c>
      <c r="F28" s="22">
        <f>F$19*0.1</f>
        <v>9.6659426789154352</v>
      </c>
      <c r="G28" s="22">
        <f t="shared" si="0"/>
        <v>51.993484110238903</v>
      </c>
      <c r="H28" s="22" cm="1">
        <f t="array" ref="H28">_xlfn.IFS(G28&lt;=0,0,AND(G28*12&gt;0,G28*12&lt;$C$6),G28*12,G28*12&gt;$C$6,$C$6)</f>
        <v>0</v>
      </c>
      <c r="I28" s="22">
        <f>IF(SUM(H$19:H28)&lt;$C$6,SUM(H$19:H28),$C$6)</f>
        <v>0</v>
      </c>
      <c r="J28" s="40" cm="1">
        <f t="array" ref="J28">_xlfn.IFS(I28&lt;$C$6,0,G28&lt;0,0,I28=$C$6,G28)</f>
        <v>51.993484110238903</v>
      </c>
      <c r="K28" s="3"/>
      <c r="L28" s="3"/>
      <c r="M28" s="11" t="s">
        <v>17</v>
      </c>
      <c r="N28" s="22">
        <f>N$19*0.1</f>
        <v>15</v>
      </c>
      <c r="O28" s="22">
        <f t="shared" si="1"/>
        <v>141.73017296671904</v>
      </c>
      <c r="P28" s="22" cm="1">
        <f t="array" ref="P28">_xlfn.IFS(O28&lt;=0,0,AND(O28*12&gt;0,O28*12&lt;$C$6),O28*12,O28*12&gt;$C$6,$C$6)</f>
        <v>0</v>
      </c>
      <c r="Q28" s="22">
        <f>IF(SUM(P$19:P28)&lt;$C$6,SUM(P$19:P28),$C$6)</f>
        <v>0</v>
      </c>
      <c r="R28" s="40" cm="1">
        <f t="array" ref="R28">_xlfn.IFS(Q28&lt;$C$6,0,O28&lt;0,0,Q28=$C$6,O28)</f>
        <v>141.73017296671904</v>
      </c>
      <c r="S28" s="3"/>
      <c r="T28" s="3"/>
      <c r="U28" s="11" t="s">
        <v>17</v>
      </c>
      <c r="V28" s="22">
        <f>V$19*0.1</f>
        <v>15</v>
      </c>
      <c r="W28" s="22">
        <f t="shared" si="2"/>
        <v>241.80091914428368</v>
      </c>
      <c r="X28" s="22" cm="1">
        <f t="array" ref="X28">_xlfn.IFS(W28&lt;=0,0,AND(W28*12&gt;0,W28*12&lt;$C$6),W28*12,W28*12&gt;$C$6,$C$6)</f>
        <v>0</v>
      </c>
      <c r="Y28" s="22">
        <f>IF(SUM(X$19:X28)&lt;$C$6,SUM(X$19:X28),$C$6)</f>
        <v>0</v>
      </c>
      <c r="Z28" s="40" cm="1">
        <f t="array" ref="Z28">_xlfn.IFS(Y28&lt;$C$6,0,W28&lt;0,0,Y28=$C$6,W28)</f>
        <v>241.80091914428368</v>
      </c>
    </row>
    <row r="29" spans="2:29" x14ac:dyDescent="0.2">
      <c r="E29" s="9" t="s">
        <v>18</v>
      </c>
      <c r="F29" s="41">
        <f>SUM(F19:F28)*12</f>
        <v>6379.5221680841878</v>
      </c>
      <c r="G29" s="41">
        <f>SUMIF(G19:G28,"&gt;"&amp;0)*12</f>
        <v>2003.6611737324231</v>
      </c>
      <c r="H29" s="22"/>
      <c r="I29" s="41">
        <f>I28</f>
        <v>0</v>
      </c>
      <c r="J29" s="41"/>
      <c r="K29" s="12"/>
      <c r="L29" s="12"/>
      <c r="M29" s="12"/>
      <c r="N29" s="41">
        <f>SUM(N19:N28)*12</f>
        <v>9900</v>
      </c>
      <c r="O29" s="41">
        <f>SUMIF(O19:O28,"&gt;"&amp;0)*12</f>
        <v>8907.620756006283</v>
      </c>
      <c r="Q29" s="41">
        <f>Q28</f>
        <v>0</v>
      </c>
      <c r="R29" s="41"/>
      <c r="S29" s="12"/>
      <c r="T29" s="12"/>
      <c r="U29" s="12"/>
      <c r="V29" s="41">
        <f>SUM(V19:V28)*12</f>
        <v>9900</v>
      </c>
      <c r="W29" s="41">
        <f>SUMIF(W19:W28,"&gt;"&amp;0)*12</f>
        <v>20916.110297314037</v>
      </c>
      <c r="Y29" s="41">
        <f>Y28</f>
        <v>0</v>
      </c>
      <c r="Z29" s="41"/>
      <c r="AB29" s="4"/>
      <c r="AC29" s="2"/>
    </row>
    <row r="30" spans="2:29" ht="16" thickBot="1" x14ac:dyDescent="0.25">
      <c r="G30" s="13" t="s">
        <v>98</v>
      </c>
      <c r="H30" s="3"/>
      <c r="I30" s="3"/>
      <c r="J30" s="3"/>
      <c r="K30" s="3"/>
      <c r="L30" s="3"/>
      <c r="M30" s="3"/>
      <c r="N30" s="3"/>
      <c r="O30" s="13" t="s">
        <v>98</v>
      </c>
      <c r="P30" s="3"/>
      <c r="Q30" s="3"/>
      <c r="R30" s="3"/>
      <c r="S30" s="3"/>
      <c r="T30" s="3"/>
      <c r="U30" s="3"/>
      <c r="W30" s="13" t="s">
        <v>98</v>
      </c>
      <c r="X30" s="3"/>
      <c r="Y30" s="3"/>
      <c r="Z30" s="3"/>
    </row>
    <row r="31" spans="2:29" ht="16" thickBot="1" x14ac:dyDescent="0.25">
      <c r="H31" s="17" t="s">
        <v>49</v>
      </c>
      <c r="I31" s="117"/>
      <c r="J31" s="42">
        <f>SUM(J19:J28)*12</f>
        <v>2003.6611737324231</v>
      </c>
      <c r="K31" s="3"/>
      <c r="L31" s="3"/>
      <c r="N31" s="3"/>
      <c r="P31" s="17" t="s">
        <v>49</v>
      </c>
      <c r="Q31" s="117"/>
      <c r="R31" s="42">
        <f>SUM(R19:R28)*12</f>
        <v>8907.620756006283</v>
      </c>
      <c r="S31" s="3"/>
      <c r="T31" s="3"/>
      <c r="X31" s="17" t="s">
        <v>49</v>
      </c>
      <c r="Y31" s="117"/>
      <c r="Z31" s="42">
        <f>SUM(Z19:Z28)*12</f>
        <v>20916.110297314037</v>
      </c>
    </row>
    <row r="32" spans="2:29" x14ac:dyDescent="0.2">
      <c r="F32" s="221"/>
      <c r="G32" s="221"/>
      <c r="H32" s="221"/>
      <c r="I32" s="221"/>
      <c r="J32" s="221"/>
      <c r="L32" s="22"/>
      <c r="N32" s="221"/>
      <c r="O32" s="221"/>
      <c r="P32" s="221"/>
      <c r="Q32" s="221"/>
      <c r="R32" s="221"/>
    </row>
    <row r="33" spans="5:18" x14ac:dyDescent="0.2">
      <c r="F33"/>
      <c r="G33" s="3"/>
      <c r="J33" s="116"/>
      <c r="O33" s="3"/>
    </row>
    <row r="34" spans="5:18" x14ac:dyDescent="0.2">
      <c r="F34" s="46"/>
      <c r="G34" s="46"/>
      <c r="H34" s="46"/>
      <c r="I34" s="46"/>
      <c r="J34" s="46"/>
      <c r="K34" s="3"/>
      <c r="N34" s="46"/>
      <c r="O34" s="46"/>
      <c r="P34" s="46"/>
      <c r="Q34" s="46"/>
      <c r="R34" s="46"/>
    </row>
    <row r="35" spans="5:18" x14ac:dyDescent="0.2">
      <c r="E35" s="48"/>
      <c r="F35" s="47"/>
      <c r="G35" s="47"/>
      <c r="H35" s="47"/>
      <c r="I35" s="47"/>
      <c r="J35" s="47"/>
      <c r="K35" s="3"/>
      <c r="M35" s="36"/>
      <c r="N35" s="47"/>
      <c r="O35" s="47"/>
      <c r="P35" s="47"/>
      <c r="Q35" s="47"/>
      <c r="R35" s="47"/>
    </row>
    <row r="36" spans="5:18" x14ac:dyDescent="0.2">
      <c r="E36" s="48"/>
      <c r="F36" s="47"/>
      <c r="G36" s="47"/>
      <c r="H36" s="47"/>
      <c r="I36" s="47"/>
      <c r="J36" s="47"/>
      <c r="K36" s="3"/>
      <c r="M36" s="36"/>
      <c r="N36" s="47"/>
      <c r="O36" s="47"/>
      <c r="P36" s="47"/>
      <c r="Q36" s="47"/>
      <c r="R36" s="47"/>
    </row>
    <row r="37" spans="5:18" x14ac:dyDescent="0.2">
      <c r="E37" s="48"/>
      <c r="F37" s="47"/>
      <c r="G37" s="47"/>
      <c r="H37" s="47"/>
      <c r="I37" s="47"/>
      <c r="J37" s="47"/>
      <c r="M37" s="36"/>
      <c r="N37" s="47"/>
      <c r="O37" s="47"/>
      <c r="P37" s="47"/>
      <c r="Q37" s="47"/>
      <c r="R37" s="47"/>
    </row>
    <row r="38" spans="5:18" x14ac:dyDescent="0.2">
      <c r="E38" s="36"/>
      <c r="F38"/>
      <c r="G38" s="3"/>
      <c r="H38" s="3"/>
      <c r="I38" s="3"/>
      <c r="M38" s="36"/>
      <c r="O38" s="3"/>
      <c r="P38" s="3"/>
      <c r="Q38" s="3"/>
    </row>
    <row r="39" spans="5:18" x14ac:dyDescent="0.2">
      <c r="F39"/>
      <c r="G39" s="3"/>
      <c r="O39" s="3"/>
    </row>
    <row r="40" spans="5:18" x14ac:dyDescent="0.2">
      <c r="F40"/>
      <c r="G40" s="3"/>
      <c r="O40" s="3"/>
    </row>
    <row r="41" spans="5:18" x14ac:dyDescent="0.2">
      <c r="F41" s="221"/>
      <c r="G41" s="221"/>
      <c r="H41" s="221"/>
      <c r="I41" s="221"/>
      <c r="J41" s="221"/>
      <c r="N41" s="221"/>
      <c r="O41" s="221"/>
      <c r="P41" s="221"/>
      <c r="Q41" s="221"/>
      <c r="R41" s="221"/>
    </row>
    <row r="42" spans="5:18" x14ac:dyDescent="0.2">
      <c r="F42"/>
      <c r="G42" s="3"/>
      <c r="O42" s="3"/>
    </row>
    <row r="43" spans="5:18" x14ac:dyDescent="0.2">
      <c r="F43" s="46"/>
      <c r="G43" s="46"/>
      <c r="H43" s="46"/>
      <c r="I43" s="46"/>
      <c r="J43" s="46"/>
      <c r="N43" s="46"/>
      <c r="O43" s="46"/>
      <c r="P43" s="46"/>
      <c r="Q43" s="46"/>
      <c r="R43" s="46"/>
    </row>
    <row r="44" spans="5:18" x14ac:dyDescent="0.2">
      <c r="E44" s="48"/>
      <c r="F44" s="47"/>
      <c r="G44" s="47"/>
      <c r="H44" s="47"/>
      <c r="I44" s="47"/>
      <c r="J44" s="47"/>
      <c r="M44" s="36"/>
      <c r="N44" s="47"/>
      <c r="O44" s="47"/>
      <c r="P44" s="47"/>
      <c r="Q44" s="47"/>
      <c r="R44" s="47"/>
    </row>
    <row r="45" spans="5:18" x14ac:dyDescent="0.2">
      <c r="E45" s="48"/>
      <c r="F45" s="47"/>
      <c r="G45" s="47"/>
      <c r="H45" s="47"/>
      <c r="I45" s="47"/>
      <c r="J45" s="47"/>
      <c r="M45" s="36"/>
      <c r="N45" s="47"/>
      <c r="O45" s="47"/>
      <c r="P45" s="47"/>
      <c r="Q45" s="47"/>
      <c r="R45" s="47"/>
    </row>
    <row r="46" spans="5:18" x14ac:dyDescent="0.2">
      <c r="E46" s="48"/>
      <c r="F46" s="47"/>
      <c r="G46" s="47"/>
      <c r="H46" s="47"/>
      <c r="I46" s="47"/>
      <c r="J46" s="47"/>
      <c r="M46" s="36"/>
      <c r="N46" s="47"/>
      <c r="O46" s="47"/>
      <c r="P46" s="47"/>
      <c r="Q46" s="47"/>
      <c r="R46" s="47"/>
    </row>
    <row r="47" spans="5:18" x14ac:dyDescent="0.2">
      <c r="F47"/>
      <c r="G47" s="3"/>
    </row>
  </sheetData>
  <mergeCells count="9">
    <mergeCell ref="AA2:AB2"/>
    <mergeCell ref="N2:R2"/>
    <mergeCell ref="F2:J2"/>
    <mergeCell ref="V2:Z2"/>
    <mergeCell ref="B8:C8"/>
    <mergeCell ref="F32:J32"/>
    <mergeCell ref="N32:R32"/>
    <mergeCell ref="F41:J41"/>
    <mergeCell ref="N41:R41"/>
  </mergeCells>
  <conditionalFormatting sqref="H19:I28 P19:Q28 X19:Y28 H29">
    <cfRule type="cellIs" dxfId="41" priority="22" operator="equal">
      <formula>$C$6</formula>
    </cfRule>
  </conditionalFormatting>
  <conditionalFormatting sqref="H29 H19:L28">
    <cfRule type="cellIs" dxfId="40" priority="21" operator="equal">
      <formula>6500</formula>
    </cfRule>
  </conditionalFormatting>
  <conditionalFormatting sqref="J31:L31 R31:T31">
    <cfRule type="cellIs" dxfId="39" priority="15" operator="lessThan">
      <formula>0</formula>
    </cfRule>
    <cfRule type="cellIs" dxfId="38" priority="16" operator="greaterThan">
      <formula>0</formula>
    </cfRule>
  </conditionalFormatting>
  <conditionalFormatting sqref="P19:Q28 S19:T28">
    <cfRule type="cellIs" dxfId="37" priority="8" operator="equal">
      <formula>6500</formula>
    </cfRule>
  </conditionalFormatting>
  <conditionalFormatting sqref="X19:Y28">
    <cfRule type="cellIs" dxfId="36" priority="5" operator="equal">
      <formula>6500</formula>
    </cfRule>
  </conditionalFormatting>
  <conditionalFormatting sqref="Z31">
    <cfRule type="cellIs" dxfId="35" priority="3" operator="lessThan">
      <formula>0</formula>
    </cfRule>
    <cfRule type="cellIs" dxfId="34" priority="4" operator="greaterThan">
      <formula>0</formula>
    </cfRule>
  </conditionalFormatting>
  <conditionalFormatting sqref="AC14:AC23">
    <cfRule type="cellIs" dxfId="33" priority="36" operator="equal">
      <formula>6500</formula>
    </cfRule>
  </conditionalFormatting>
  <conditionalFormatting sqref="AC26">
    <cfRule type="cellIs" dxfId="32" priority="30" operator="lessThan">
      <formula>0</formula>
    </cfRule>
    <cfRule type="cellIs" dxfId="31" priority="31" operator="greaterThan">
      <formula>0</formula>
    </cfRule>
  </conditionalFormatting>
  <conditionalFormatting sqref="R19:R28">
    <cfRule type="cellIs" dxfId="1" priority="2" operator="equal">
      <formula>6500</formula>
    </cfRule>
  </conditionalFormatting>
  <conditionalFormatting sqref="Z19:Z28">
    <cfRule type="cellIs" dxfId="0" priority="1" operator="equal">
      <formula>6500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2C4BD-57BA-444E-A2AA-852DF0A7C4C2}">
  <dimension ref="A1:AC45"/>
  <sheetViews>
    <sheetView tabSelected="1" topLeftCell="A8" zoomScale="135" workbookViewId="0">
      <selection activeCell="Y29" sqref="Y29"/>
    </sheetView>
  </sheetViews>
  <sheetFormatPr baseColWidth="10" defaultColWidth="8.83203125" defaultRowHeight="15" x14ac:dyDescent="0.2"/>
  <cols>
    <col min="1" max="1" width="12.33203125" customWidth="1"/>
    <col min="2" max="2" width="17.33203125" hidden="1" customWidth="1"/>
    <col min="3" max="3" width="10.1640625" hidden="1" customWidth="1"/>
    <col min="4" max="4" width="10.1640625" customWidth="1"/>
    <col min="5" max="5" width="11.33203125" customWidth="1"/>
    <col min="6" max="6" width="15.83203125" style="3" customWidth="1"/>
    <col min="7" max="7" width="17.1640625" customWidth="1"/>
    <col min="8" max="9" width="14.33203125" customWidth="1"/>
    <col min="10" max="10" width="15.6640625" customWidth="1"/>
    <col min="11" max="11" width="10.33203125" customWidth="1"/>
    <col min="12" max="12" width="9.1640625" customWidth="1"/>
    <col min="13" max="13" width="13.1640625" customWidth="1"/>
    <col min="14" max="15" width="16.5" customWidth="1"/>
    <col min="16" max="16" width="11.5" customWidth="1"/>
    <col min="17" max="17" width="13.5" customWidth="1"/>
    <col min="18" max="18" width="13.6640625" customWidth="1"/>
    <col min="19" max="19" width="8.1640625" customWidth="1"/>
    <col min="20" max="20" width="8.83203125" customWidth="1"/>
    <col min="21" max="21" width="9.5" customWidth="1"/>
    <col min="22" max="22" width="21.33203125" style="3" customWidth="1"/>
    <col min="23" max="23" width="20.5" customWidth="1"/>
    <col min="24" max="26" width="14.5" customWidth="1"/>
    <col min="27" max="27" width="18.1640625" style="3" customWidth="1"/>
    <col min="28" max="28" width="17.1640625" customWidth="1"/>
    <col min="29" max="29" width="14.6640625" customWidth="1"/>
  </cols>
  <sheetData>
    <row r="1" spans="1:29" ht="20" customHeight="1" thickBot="1" x14ac:dyDescent="0.25">
      <c r="N1" s="3"/>
    </row>
    <row r="2" spans="1:29" ht="21" customHeight="1" thickBot="1" x14ac:dyDescent="0.25">
      <c r="B2" s="18" t="s">
        <v>20</v>
      </c>
      <c r="C2" s="19"/>
      <c r="D2" s="26"/>
      <c r="F2" s="230" t="s">
        <v>0</v>
      </c>
      <c r="G2" s="230"/>
      <c r="H2" s="230"/>
      <c r="I2" s="230"/>
      <c r="J2" s="230"/>
      <c r="N2" s="230" t="s">
        <v>1</v>
      </c>
      <c r="O2" s="230"/>
      <c r="P2" s="230"/>
      <c r="Q2" s="230"/>
      <c r="R2" s="230"/>
      <c r="V2" s="230" t="s">
        <v>2</v>
      </c>
      <c r="W2" s="230"/>
      <c r="X2" s="230"/>
      <c r="Y2" s="230"/>
      <c r="Z2" s="230"/>
      <c r="AA2" s="229"/>
      <c r="AB2" s="229"/>
    </row>
    <row r="3" spans="1:29" x14ac:dyDescent="0.2">
      <c r="B3" s="15" t="s">
        <v>21</v>
      </c>
      <c r="C3" s="93">
        <f>Input!C5</f>
        <v>1500</v>
      </c>
      <c r="D3" s="27"/>
      <c r="F3" s="38">
        <f>Input!F5</f>
        <v>25000</v>
      </c>
      <c r="G3" s="11" t="s">
        <v>3</v>
      </c>
      <c r="H3" s="11"/>
      <c r="I3" s="11"/>
      <c r="J3" s="11"/>
      <c r="K3" s="11"/>
      <c r="L3" s="11"/>
      <c r="M3" s="11"/>
      <c r="N3" s="38">
        <f>Input!F6</f>
        <v>50000</v>
      </c>
      <c r="O3" s="11" t="s">
        <v>3</v>
      </c>
      <c r="P3" s="11"/>
      <c r="Q3" s="11"/>
      <c r="R3" s="11"/>
      <c r="S3" s="11"/>
      <c r="T3" s="11"/>
      <c r="U3" s="11"/>
      <c r="V3" s="39">
        <f>Input!F7</f>
        <v>75000</v>
      </c>
      <c r="W3" s="11" t="s">
        <v>4</v>
      </c>
      <c r="X3" s="11"/>
      <c r="Y3" s="11"/>
      <c r="Z3" s="11"/>
      <c r="AA3" s="10"/>
      <c r="AB3" s="11"/>
    </row>
    <row r="4" spans="1:29" x14ac:dyDescent="0.2">
      <c r="B4" s="15" t="s">
        <v>22</v>
      </c>
      <c r="C4" s="94">
        <f>Input!C6</f>
        <v>2500</v>
      </c>
      <c r="F4" s="54">
        <f>Input!G5</f>
        <v>35</v>
      </c>
      <c r="G4" s="36" t="s">
        <v>5</v>
      </c>
      <c r="H4" s="36"/>
      <c r="I4" s="36"/>
      <c r="J4" s="36"/>
      <c r="K4" s="36"/>
      <c r="L4" s="36"/>
      <c r="M4" s="36"/>
      <c r="N4" s="55">
        <f>Input!G6</f>
        <v>55</v>
      </c>
      <c r="O4" s="36" t="s">
        <v>5</v>
      </c>
      <c r="P4" s="36"/>
      <c r="Q4" s="36"/>
      <c r="R4" s="36"/>
      <c r="S4" s="36"/>
      <c r="T4" s="36"/>
      <c r="U4" s="36"/>
      <c r="V4" s="56">
        <f>Input!G7</f>
        <v>70</v>
      </c>
      <c r="W4" t="s">
        <v>5</v>
      </c>
    </row>
    <row r="5" spans="1:29" ht="16" thickBot="1" x14ac:dyDescent="0.25">
      <c r="A5" s="9"/>
      <c r="B5" s="16" t="s">
        <v>23</v>
      </c>
      <c r="C5" s="95">
        <f>Input!C7</f>
        <v>0</v>
      </c>
      <c r="F5" s="37">
        <f>SUM($C$3:$C$5)</f>
        <v>4000</v>
      </c>
      <c r="G5" t="s">
        <v>28</v>
      </c>
      <c r="N5" s="37">
        <f>SUM($C$3:$C$5)</f>
        <v>4000</v>
      </c>
      <c r="O5" t="s">
        <v>28</v>
      </c>
      <c r="V5" s="37">
        <f>SUM($C$3:$C$5)</f>
        <v>4000</v>
      </c>
      <c r="W5" t="s">
        <v>28</v>
      </c>
      <c r="X5" s="9"/>
      <c r="Y5" s="9"/>
      <c r="Z5" s="9"/>
      <c r="AA5" s="12"/>
      <c r="AB5" s="9"/>
    </row>
    <row r="6" spans="1:29" ht="16" thickBot="1" x14ac:dyDescent="0.25">
      <c r="B6" s="30" t="s">
        <v>24</v>
      </c>
      <c r="C6" s="96">
        <f>Input!C10</f>
        <v>0</v>
      </c>
      <c r="D6" s="28"/>
      <c r="F6" s="38">
        <f>F3-F5</f>
        <v>21000</v>
      </c>
      <c r="G6" s="11" t="s">
        <v>27</v>
      </c>
      <c r="H6" s="9"/>
      <c r="I6" s="9"/>
      <c r="N6" s="38">
        <f>N3-N5</f>
        <v>46000</v>
      </c>
      <c r="O6" s="11" t="s">
        <v>27</v>
      </c>
      <c r="V6" s="39">
        <f>V3-V5</f>
        <v>71000</v>
      </c>
      <c r="W6" s="11" t="s">
        <v>27</v>
      </c>
    </row>
    <row r="7" spans="1:29" ht="16" thickBot="1" x14ac:dyDescent="0.25">
      <c r="C7" s="49"/>
      <c r="D7" s="28"/>
      <c r="F7" s="22">
        <f>$C$9*F6</f>
        <v>21000</v>
      </c>
      <c r="G7" s="11" t="s">
        <v>67</v>
      </c>
      <c r="H7" s="4"/>
      <c r="I7" s="4"/>
      <c r="J7" s="9"/>
      <c r="K7" s="9"/>
      <c r="L7" s="9"/>
      <c r="M7" s="9"/>
      <c r="N7" s="22">
        <f>$C$9*N6</f>
        <v>46000</v>
      </c>
      <c r="O7" s="11" t="s">
        <v>67</v>
      </c>
      <c r="P7" s="9"/>
      <c r="Q7" s="9"/>
      <c r="R7" s="9"/>
      <c r="S7" s="9"/>
      <c r="T7" s="9"/>
      <c r="U7" s="9"/>
      <c r="V7" s="22">
        <f>$C$9*V6</f>
        <v>71000</v>
      </c>
      <c r="W7" s="11" t="s">
        <v>67</v>
      </c>
      <c r="AA7" s="20"/>
    </row>
    <row r="8" spans="1:29" ht="16" thickBot="1" x14ac:dyDescent="0.25">
      <c r="B8" s="227" t="s">
        <v>71</v>
      </c>
      <c r="C8" s="228"/>
      <c r="D8" s="29"/>
      <c r="F8" s="22">
        <f>IFERROR(PMT($C$10/12,$C$11*12,-F7),0)</f>
        <v>96.659426789154338</v>
      </c>
      <c r="G8" s="11" t="s">
        <v>72</v>
      </c>
      <c r="H8" s="1"/>
      <c r="I8" s="1"/>
      <c r="J8" s="4"/>
      <c r="K8" s="4"/>
      <c r="L8" s="4"/>
      <c r="M8" s="4"/>
      <c r="N8" s="22">
        <f>IFERROR(PMT($C$10/12,$C$11*12,-N7),0)</f>
        <v>211.73017296671904</v>
      </c>
      <c r="O8" s="11" t="s">
        <v>72</v>
      </c>
      <c r="V8" s="22">
        <f>IFERROR(PMT($C$10/12,$C$11*12,-V7),0)</f>
        <v>326.80091914428368</v>
      </c>
      <c r="W8" s="11" t="s">
        <v>72</v>
      </c>
      <c r="AA8" s="22"/>
    </row>
    <row r="9" spans="1:29" ht="18" customHeight="1" x14ac:dyDescent="0.2">
      <c r="B9" s="87" t="s">
        <v>67</v>
      </c>
      <c r="C9" s="97">
        <f>Input!C14</f>
        <v>1</v>
      </c>
      <c r="F9" s="22">
        <f>$C$12*F6</f>
        <v>0</v>
      </c>
      <c r="G9" s="11" t="s">
        <v>69</v>
      </c>
      <c r="J9" s="1"/>
      <c r="K9" s="1"/>
      <c r="L9" s="1"/>
      <c r="M9" s="1"/>
      <c r="N9" s="22">
        <f>$C$12*N6</f>
        <v>0</v>
      </c>
      <c r="O9" s="11" t="s">
        <v>69</v>
      </c>
      <c r="P9" s="1"/>
      <c r="Q9" s="1"/>
      <c r="R9" s="1"/>
      <c r="S9" s="1"/>
      <c r="T9" s="1"/>
      <c r="U9" s="1"/>
      <c r="V9" s="22">
        <f>$C$12*V6</f>
        <v>0</v>
      </c>
      <c r="W9" s="11" t="s">
        <v>69</v>
      </c>
      <c r="X9" s="1"/>
      <c r="Y9" s="1"/>
      <c r="Z9" s="1"/>
      <c r="AA9" s="23"/>
      <c r="AB9" s="1"/>
    </row>
    <row r="10" spans="1:29" s="1" customFormat="1" x14ac:dyDescent="0.2">
      <c r="B10" s="88" t="s">
        <v>68</v>
      </c>
      <c r="C10" s="98">
        <f>Input!C15</f>
        <v>3.6999999999999998E-2</v>
      </c>
      <c r="D10"/>
      <c r="E10"/>
      <c r="F10" s="22">
        <f>IFERROR(PMT($C$13/12,$C$14*12,-F9),0)</f>
        <v>0</v>
      </c>
      <c r="G10" s="11" t="s">
        <v>73</v>
      </c>
      <c r="H10"/>
      <c r="I10"/>
      <c r="N10" s="22">
        <f>IFERROR(PMT($C$13/12,$C$14*12,-N9),0)</f>
        <v>0</v>
      </c>
      <c r="O10" s="11" t="s">
        <v>73</v>
      </c>
      <c r="V10" s="22">
        <f>IFERROR(PMT($C$13/12,$C$14*12,-V9),0)</f>
        <v>0</v>
      </c>
      <c r="W10" s="11" t="s">
        <v>73</v>
      </c>
    </row>
    <row r="11" spans="1:29" ht="44" customHeight="1" thickBot="1" x14ac:dyDescent="0.25">
      <c r="B11" s="89" t="s">
        <v>74</v>
      </c>
      <c r="C11" s="99">
        <f>Input!C16</f>
        <v>30</v>
      </c>
      <c r="J11" s="1"/>
      <c r="K11" s="1"/>
      <c r="L11" s="1"/>
      <c r="M11" s="1"/>
      <c r="N11" s="3"/>
      <c r="P11" s="1"/>
      <c r="Q11" s="1"/>
      <c r="R11" s="1"/>
      <c r="S11" s="1"/>
      <c r="T11" s="1"/>
      <c r="U11" s="1"/>
      <c r="X11" s="1"/>
      <c r="Y11" s="1"/>
      <c r="Z11" s="1"/>
      <c r="AA11" s="5"/>
      <c r="AB11" s="6"/>
      <c r="AC11" s="6"/>
    </row>
    <row r="12" spans="1:29" x14ac:dyDescent="0.2">
      <c r="B12" s="88" t="s">
        <v>69</v>
      </c>
      <c r="C12" s="98">
        <f>Input!C17</f>
        <v>0</v>
      </c>
      <c r="F12" s="21">
        <f>F8+F10</f>
        <v>96.659426789154338</v>
      </c>
      <c r="G12" t="s">
        <v>29</v>
      </c>
      <c r="J12" s="1"/>
      <c r="K12" s="1"/>
      <c r="L12" s="1"/>
      <c r="M12" s="1"/>
      <c r="N12" s="21">
        <f>N8+N10</f>
        <v>211.73017296671904</v>
      </c>
      <c r="O12" t="s">
        <v>29</v>
      </c>
      <c r="P12" s="1"/>
      <c r="Q12" s="1"/>
      <c r="R12" s="1"/>
      <c r="S12" s="1"/>
      <c r="T12" s="1"/>
      <c r="U12" s="1"/>
      <c r="V12" s="21">
        <f>V8+V10</f>
        <v>326.80091914428368</v>
      </c>
      <c r="W12" t="s">
        <v>29</v>
      </c>
      <c r="X12" s="1"/>
      <c r="Y12" s="1"/>
      <c r="Z12" s="1"/>
      <c r="AB12" s="3"/>
      <c r="AC12" s="3"/>
    </row>
    <row r="13" spans="1:29" x14ac:dyDescent="0.2">
      <c r="B13" s="88" t="s">
        <v>70</v>
      </c>
      <c r="C13" s="100">
        <f>Input!C18</f>
        <v>0</v>
      </c>
      <c r="F13" s="31">
        <f>F12-F4</f>
        <v>61.659426789154338</v>
      </c>
      <c r="G13" s="1" t="s">
        <v>6</v>
      </c>
      <c r="J13" s="1"/>
      <c r="K13" s="1"/>
      <c r="L13" s="1"/>
      <c r="M13" s="1"/>
      <c r="N13" s="31">
        <f>N12-N4</f>
        <v>156.73017296671904</v>
      </c>
      <c r="O13" s="1" t="s">
        <v>6</v>
      </c>
      <c r="P13" s="1"/>
      <c r="Q13" s="1"/>
      <c r="R13" s="1"/>
      <c r="S13" s="1"/>
      <c r="T13" s="1"/>
      <c r="U13" s="1"/>
      <c r="V13" s="31">
        <f>V12-V4</f>
        <v>256.80091914428368</v>
      </c>
      <c r="W13" s="1" t="s">
        <v>6</v>
      </c>
      <c r="X13" s="1"/>
      <c r="Y13" s="1"/>
      <c r="Z13" s="1"/>
      <c r="AB13" s="3"/>
      <c r="AC13" s="3"/>
    </row>
    <row r="14" spans="1:29" ht="16" thickBot="1" x14ac:dyDescent="0.25">
      <c r="B14" s="89" t="s">
        <v>75</v>
      </c>
      <c r="C14" s="99">
        <f>Input!C19</f>
        <v>0</v>
      </c>
      <c r="F14" s="31"/>
      <c r="G14" s="1"/>
      <c r="J14" s="1"/>
      <c r="K14" s="1"/>
      <c r="L14" s="1"/>
      <c r="M14" s="1"/>
      <c r="P14" s="1"/>
      <c r="Q14" s="1"/>
      <c r="R14" s="1"/>
      <c r="S14" s="1"/>
      <c r="T14" s="1"/>
      <c r="U14" s="1"/>
      <c r="X14" s="1"/>
      <c r="Y14" s="1"/>
      <c r="Z14" s="1"/>
      <c r="AB14" s="3"/>
      <c r="AC14" s="3"/>
    </row>
    <row r="15" spans="1:29" x14ac:dyDescent="0.2">
      <c r="B15" s="1"/>
      <c r="C15" s="1"/>
      <c r="D15" s="1"/>
      <c r="E15" s="1"/>
      <c r="F15" s="1"/>
      <c r="G15" s="1"/>
      <c r="H15" s="1"/>
      <c r="I15" s="1"/>
      <c r="J15" s="1"/>
      <c r="K15" s="1"/>
      <c r="L15" s="1"/>
      <c r="M15" s="1"/>
      <c r="N15" s="1"/>
      <c r="O15" s="1"/>
      <c r="P15" s="1"/>
      <c r="Q15" s="1"/>
      <c r="R15" s="1"/>
      <c r="S15" s="1"/>
      <c r="T15" s="1"/>
      <c r="U15" s="1"/>
      <c r="V15" s="1"/>
      <c r="W15" s="1"/>
      <c r="X15" s="1"/>
      <c r="Y15" s="1"/>
      <c r="Z15" s="1"/>
      <c r="AB15" s="3"/>
      <c r="AC15" s="3"/>
    </row>
    <row r="16" spans="1:29" s="1" customFormat="1" ht="69" customHeight="1" x14ac:dyDescent="0.2">
      <c r="B16"/>
      <c r="C16"/>
      <c r="D16"/>
      <c r="E16"/>
      <c r="F16" s="32" t="s">
        <v>99</v>
      </c>
      <c r="G16" s="33" t="s">
        <v>85</v>
      </c>
      <c r="H16" s="33" t="s">
        <v>84</v>
      </c>
      <c r="I16" s="34" t="s">
        <v>26</v>
      </c>
      <c r="K16" s="6"/>
      <c r="L16" s="6"/>
      <c r="M16" s="6"/>
      <c r="N16" s="32" t="s">
        <v>99</v>
      </c>
      <c r="O16" s="33" t="s">
        <v>85</v>
      </c>
      <c r="P16" s="33" t="s">
        <v>84</v>
      </c>
      <c r="Q16" s="34" t="s">
        <v>26</v>
      </c>
      <c r="R16" s="101"/>
      <c r="S16" s="6"/>
      <c r="T16" s="6"/>
      <c r="U16" s="6"/>
      <c r="V16" s="32" t="s">
        <v>99</v>
      </c>
      <c r="W16" s="33" t="s">
        <v>85</v>
      </c>
      <c r="X16" s="33" t="s">
        <v>84</v>
      </c>
      <c r="Y16" s="34" t="s">
        <v>26</v>
      </c>
      <c r="Z16" s="101"/>
      <c r="AA16" s="3"/>
      <c r="AB16" s="3"/>
      <c r="AC16" s="3"/>
    </row>
    <row r="17" spans="2:29" x14ac:dyDescent="0.2">
      <c r="D17" s="28"/>
      <c r="E17" s="11" t="s">
        <v>8</v>
      </c>
      <c r="F17" s="22">
        <f>$F$13</f>
        <v>61.659426789154338</v>
      </c>
      <c r="G17" s="22" cm="1">
        <f t="array" ref="G17">_xlfn.IFS(F17&lt;=0,0,AND(F17*12&gt;0,F17*12&lt;$C$6),F17*12,F17*12&gt;$C$6,$C$6)</f>
        <v>0</v>
      </c>
      <c r="H17" s="22">
        <f>IF(SUM(G$17:G17)&lt;$C$6,SUM(G$17:G17),$C$6)</f>
        <v>0</v>
      </c>
      <c r="I17" s="40">
        <f t="shared" ref="I17:I26" si="0">IF(H17&lt;$C$6,0,F17)</f>
        <v>61.659426789154338</v>
      </c>
      <c r="K17" s="3"/>
      <c r="L17" s="3"/>
      <c r="M17" s="11" t="s">
        <v>8</v>
      </c>
      <c r="N17" s="22">
        <f>$N$13</f>
        <v>156.73017296671904</v>
      </c>
      <c r="O17" s="22" cm="1">
        <f t="array" ref="O17">_xlfn.IFS(N17&lt;=0,0,AND(N17*12&gt;0,N17*12&lt;$C$6),N17*12,N17*12&gt;$C$6,$C$6)</f>
        <v>0</v>
      </c>
      <c r="P17" s="22">
        <f>IF(SUM(O$17:O17)&lt;$C$6,SUM(O$17:O17),$C$6)</f>
        <v>0</v>
      </c>
      <c r="Q17" s="40">
        <f t="shared" ref="Q17:Q26" si="1">IF(P17&lt;$C$6,0,N17)</f>
        <v>156.73017296671904</v>
      </c>
      <c r="R17" s="145"/>
      <c r="S17" s="3"/>
      <c r="T17" s="3"/>
      <c r="U17" s="11" t="s">
        <v>8</v>
      </c>
      <c r="V17" s="22">
        <f>$V$13</f>
        <v>256.80091914428368</v>
      </c>
      <c r="W17" s="22" cm="1">
        <f t="array" ref="W17">_xlfn.IFS(V17&lt;=0,0,AND(V17*12&gt;0,V17*12&lt;$C$6),V17*12,V17*12&gt;$C$6,$C$6)</f>
        <v>0</v>
      </c>
      <c r="X17" s="22">
        <f>IF(SUM(W$17:W17)&lt;$C$6,SUM(W$17:W17),$C$6)</f>
        <v>0</v>
      </c>
      <c r="Y17" s="40">
        <f t="shared" ref="Y17:Y26" si="2">IF(X17&lt;$C$6,0,V17)</f>
        <v>256.80091914428368</v>
      </c>
      <c r="Z17" s="145"/>
      <c r="AB17" s="3"/>
      <c r="AC17" s="3"/>
    </row>
    <row r="18" spans="2:29" x14ac:dyDescent="0.2">
      <c r="D18" s="28"/>
      <c r="E18" s="11" t="s">
        <v>9</v>
      </c>
      <c r="F18" s="22">
        <f t="shared" ref="F18:F26" si="3">$F$13</f>
        <v>61.659426789154338</v>
      </c>
      <c r="G18" s="22" cm="1">
        <f t="array" ref="G18">_xlfn.IFS(F18&lt;=0,0,AND(F18*12&gt;0,F18*12&lt;$C$6),F18*12,F18*12&gt;$C$6,$C$6)</f>
        <v>0</v>
      </c>
      <c r="H18" s="22">
        <f>IF(SUM(G$17:G18)&lt;$C$6,SUM(G$17:G18),$C$6)</f>
        <v>0</v>
      </c>
      <c r="I18" s="40">
        <f t="shared" si="0"/>
        <v>61.659426789154338</v>
      </c>
      <c r="K18" s="3"/>
      <c r="L18" s="3"/>
      <c r="M18" s="11" t="s">
        <v>9</v>
      </c>
      <c r="N18" s="22">
        <f t="shared" ref="N18:N26" si="4">$N$13</f>
        <v>156.73017296671904</v>
      </c>
      <c r="O18" s="22" cm="1">
        <f t="array" ref="O18">_xlfn.IFS(N18&lt;=0,0,AND(N18*12&gt;0,N18*12&lt;$C$6),N18*12,N18*12&gt;$C$6,$C$6)</f>
        <v>0</v>
      </c>
      <c r="P18" s="22">
        <f>IF(SUM(O$17:O18)&lt;$C$6,SUM(O$17:O18),$C$6)</f>
        <v>0</v>
      </c>
      <c r="Q18" s="40">
        <f t="shared" si="1"/>
        <v>156.73017296671904</v>
      </c>
      <c r="R18" s="145"/>
      <c r="S18" s="3"/>
      <c r="T18" s="3"/>
      <c r="U18" s="11" t="s">
        <v>9</v>
      </c>
      <c r="V18" s="22">
        <f t="shared" ref="V18:V26" si="5">$V$13</f>
        <v>256.80091914428368</v>
      </c>
      <c r="W18" s="22" cm="1">
        <f t="array" ref="W18">_xlfn.IFS(V18&lt;=0,0,AND(V18*12&gt;0,V18*12&lt;$C$6),V18*12,V18*12&gt;$C$6,$C$6)</f>
        <v>0</v>
      </c>
      <c r="X18" s="22">
        <f>IF(SUM(W$17:W18)&lt;$C$6,SUM(W$17:W18),$C$6)</f>
        <v>0</v>
      </c>
      <c r="Y18" s="40">
        <f t="shared" si="2"/>
        <v>256.80091914428368</v>
      </c>
      <c r="Z18" s="145"/>
      <c r="AB18" s="3"/>
      <c r="AC18" s="3"/>
    </row>
    <row r="19" spans="2:29" x14ac:dyDescent="0.2">
      <c r="D19" s="29"/>
      <c r="E19" s="11" t="s">
        <v>10</v>
      </c>
      <c r="F19" s="22">
        <f t="shared" si="3"/>
        <v>61.659426789154338</v>
      </c>
      <c r="G19" s="22" cm="1">
        <f t="array" ref="G19">_xlfn.IFS(F19&lt;=0,0,AND(F19*12&gt;0,F19*12&lt;$C$6),F19*12,F19*12&gt;$C$6,$C$6)</f>
        <v>0</v>
      </c>
      <c r="H19" s="22">
        <f>IF(SUM(G$17:G19)&lt;$C$6,SUM(G$17:G19),$C$6)</f>
        <v>0</v>
      </c>
      <c r="I19" s="40">
        <f t="shared" si="0"/>
        <v>61.659426789154338</v>
      </c>
      <c r="K19" s="3"/>
      <c r="L19" s="3"/>
      <c r="M19" s="11" t="s">
        <v>10</v>
      </c>
      <c r="N19" s="22">
        <f t="shared" si="4"/>
        <v>156.73017296671904</v>
      </c>
      <c r="O19" s="22" cm="1">
        <f t="array" ref="O19">_xlfn.IFS(N19&lt;=0,0,AND(N19*12&gt;0,N19*12&lt;$C$6),N19*12,N19*12&gt;$C$6,$C$6)</f>
        <v>0</v>
      </c>
      <c r="P19" s="22">
        <f>IF(SUM(O$17:O19)&lt;$C$6,SUM(O$17:O19),$C$6)</f>
        <v>0</v>
      </c>
      <c r="Q19" s="40">
        <f t="shared" si="1"/>
        <v>156.73017296671904</v>
      </c>
      <c r="R19" s="145"/>
      <c r="S19" s="3"/>
      <c r="T19" s="3"/>
      <c r="U19" s="11" t="s">
        <v>10</v>
      </c>
      <c r="V19" s="22">
        <f t="shared" si="5"/>
        <v>256.80091914428368</v>
      </c>
      <c r="W19" s="22" cm="1">
        <f t="array" ref="W19">_xlfn.IFS(V19&lt;=0,0,AND(V19*12&gt;0,V19*12&lt;$C$6),V19*12,V19*12&gt;$C$6,$C$6)</f>
        <v>0</v>
      </c>
      <c r="X19" s="22">
        <f>IF(SUM(W$17:W19)&lt;$C$6,SUM(W$17:W19),$C$6)</f>
        <v>0</v>
      </c>
      <c r="Y19" s="40">
        <f t="shared" si="2"/>
        <v>256.80091914428368</v>
      </c>
      <c r="Z19" s="145"/>
      <c r="AB19" s="3"/>
      <c r="AC19" s="3"/>
    </row>
    <row r="20" spans="2:29" x14ac:dyDescent="0.2">
      <c r="E20" s="11" t="s">
        <v>11</v>
      </c>
      <c r="F20" s="22">
        <f t="shared" si="3"/>
        <v>61.659426789154338</v>
      </c>
      <c r="G20" s="22" cm="1">
        <f t="array" ref="G20">_xlfn.IFS(F20&lt;=0,0,AND(F20*12&gt;0,F20*12&lt;$C$6),F20*12,F20*12&gt;$C$6,$C$6)</f>
        <v>0</v>
      </c>
      <c r="H20" s="22">
        <f>IF(SUM(G$17:G20)&lt;$C$6,SUM(G$17:G20),$C$6)</f>
        <v>0</v>
      </c>
      <c r="I20" s="40">
        <f t="shared" si="0"/>
        <v>61.659426789154338</v>
      </c>
      <c r="K20" s="3"/>
      <c r="L20" s="3"/>
      <c r="M20" s="11" t="s">
        <v>11</v>
      </c>
      <c r="N20" s="22">
        <f t="shared" si="4"/>
        <v>156.73017296671904</v>
      </c>
      <c r="O20" s="22" cm="1">
        <f t="array" ref="O20">_xlfn.IFS(N20&lt;=0,0,AND(N20*12&gt;0,N20*12&lt;$C$6),N20*12,N20*12&gt;$C$6,$C$6)</f>
        <v>0</v>
      </c>
      <c r="P20" s="22">
        <f>IF(SUM(O$17:O20)&lt;$C$6,SUM(O$17:O20),$C$6)</f>
        <v>0</v>
      </c>
      <c r="Q20" s="40">
        <f t="shared" si="1"/>
        <v>156.73017296671904</v>
      </c>
      <c r="R20" s="145"/>
      <c r="S20" s="3"/>
      <c r="T20" s="3"/>
      <c r="U20" s="11" t="s">
        <v>11</v>
      </c>
      <c r="V20" s="22">
        <f t="shared" si="5"/>
        <v>256.80091914428368</v>
      </c>
      <c r="W20" s="22" cm="1">
        <f t="array" ref="W20">_xlfn.IFS(V20&lt;=0,0,AND(V20*12&gt;0,V20*12&lt;$C$6),V20*12,V20*12&gt;$C$6,$C$6)</f>
        <v>0</v>
      </c>
      <c r="X20" s="22">
        <f>IF(SUM(W$17:W20)&lt;$C$6,SUM(W$17:W20),$C$6)</f>
        <v>0</v>
      </c>
      <c r="Y20" s="40">
        <f t="shared" si="2"/>
        <v>256.80091914428368</v>
      </c>
      <c r="Z20" s="145"/>
      <c r="AB20" s="3"/>
      <c r="AC20" s="3"/>
    </row>
    <row r="21" spans="2:29" x14ac:dyDescent="0.2">
      <c r="B21" s="1"/>
      <c r="C21" s="1"/>
      <c r="D21" s="1"/>
      <c r="E21" s="11" t="s">
        <v>12</v>
      </c>
      <c r="F21" s="22">
        <f t="shared" si="3"/>
        <v>61.659426789154338</v>
      </c>
      <c r="G21" s="22" cm="1">
        <f t="array" ref="G21">_xlfn.IFS(F21&lt;=0,0,AND(F21*12&gt;0,F21*12&lt;$C$6),F21*12,F21*12&gt;$C$6,$C$6)</f>
        <v>0</v>
      </c>
      <c r="H21" s="22">
        <f>IF(SUM(G$17:G21)&lt;$C$6,SUM(G$17:G21),$C$6)</f>
        <v>0</v>
      </c>
      <c r="I21" s="40">
        <f t="shared" si="0"/>
        <v>61.659426789154338</v>
      </c>
      <c r="K21" s="3"/>
      <c r="L21" s="3"/>
      <c r="M21" s="11" t="s">
        <v>12</v>
      </c>
      <c r="N21" s="22">
        <f t="shared" si="4"/>
        <v>156.73017296671904</v>
      </c>
      <c r="O21" s="22" cm="1">
        <f t="array" ref="O21">_xlfn.IFS(N21&lt;=0,0,AND(N21*12&gt;0,N21*12&lt;$C$6),N21*12,N21*12&gt;$C$6,$C$6)</f>
        <v>0</v>
      </c>
      <c r="P21" s="22">
        <f>IF(SUM(O$17:O21)&lt;$C$6,SUM(O$17:O21),$C$6)</f>
        <v>0</v>
      </c>
      <c r="Q21" s="40">
        <f t="shared" si="1"/>
        <v>156.73017296671904</v>
      </c>
      <c r="R21" s="145"/>
      <c r="S21" s="3"/>
      <c r="T21" s="3"/>
      <c r="U21" s="11" t="s">
        <v>12</v>
      </c>
      <c r="V21" s="22">
        <f t="shared" si="5"/>
        <v>256.80091914428368</v>
      </c>
      <c r="W21" s="22" cm="1">
        <f t="array" ref="W21">_xlfn.IFS(V21&lt;=0,0,AND(V21*12&gt;0,V21*12&lt;$C$6),V21*12,V21*12&gt;$C$6,$C$6)</f>
        <v>0</v>
      </c>
      <c r="X21" s="22">
        <f>IF(SUM(W$17:W21)&lt;$C$6,SUM(W$17:W21),$C$6)</f>
        <v>0</v>
      </c>
      <c r="Y21" s="40">
        <f t="shared" si="2"/>
        <v>256.80091914428368</v>
      </c>
      <c r="Z21" s="145"/>
      <c r="AB21" s="3"/>
      <c r="AC21" s="3"/>
    </row>
    <row r="22" spans="2:29" x14ac:dyDescent="0.2">
      <c r="E22" s="11" t="s">
        <v>13</v>
      </c>
      <c r="F22" s="22">
        <f t="shared" si="3"/>
        <v>61.659426789154338</v>
      </c>
      <c r="G22" s="22" cm="1">
        <f t="array" ref="G22">_xlfn.IFS(F22&lt;=0,0,AND(F22*12&gt;0,F22*12&lt;$C$6),F22*12,F22*12&gt;$C$6,$C$6)</f>
        <v>0</v>
      </c>
      <c r="H22" s="22">
        <f>IF(SUM(G$17:G22)&lt;$C$6,SUM(G$17:G22),$C$6)</f>
        <v>0</v>
      </c>
      <c r="I22" s="40">
        <f t="shared" si="0"/>
        <v>61.659426789154338</v>
      </c>
      <c r="K22" s="3"/>
      <c r="L22" s="3"/>
      <c r="M22" s="11" t="s">
        <v>13</v>
      </c>
      <c r="N22" s="22">
        <f t="shared" si="4"/>
        <v>156.73017296671904</v>
      </c>
      <c r="O22" s="22" cm="1">
        <f t="array" ref="O22">_xlfn.IFS(N22&lt;=0,0,AND(N22*12&gt;0,N22*12&lt;$C$6),N22*12,N22*12&gt;$C$6,$C$6)</f>
        <v>0</v>
      </c>
      <c r="P22" s="22">
        <f>IF(SUM(O$17:O22)&lt;$C$6,SUM(O$17:O22),$C$6)</f>
        <v>0</v>
      </c>
      <c r="Q22" s="40">
        <f t="shared" si="1"/>
        <v>156.73017296671904</v>
      </c>
      <c r="R22" s="145"/>
      <c r="S22" s="3"/>
      <c r="T22" s="3"/>
      <c r="U22" s="11" t="s">
        <v>13</v>
      </c>
      <c r="V22" s="22">
        <f t="shared" si="5"/>
        <v>256.80091914428368</v>
      </c>
      <c r="W22" s="22" cm="1">
        <f t="array" ref="W22">_xlfn.IFS(V22&lt;=0,0,AND(V22*12&gt;0,V22*12&lt;$C$6),V22*12,V22*12&gt;$C$6,$C$6)</f>
        <v>0</v>
      </c>
      <c r="X22" s="22">
        <f>IF(SUM(W$17:W22)&lt;$C$6,SUM(W$17:W22),$C$6)</f>
        <v>0</v>
      </c>
      <c r="Y22" s="40">
        <f t="shared" si="2"/>
        <v>256.80091914428368</v>
      </c>
      <c r="Z22" s="145"/>
      <c r="AA22" s="12"/>
      <c r="AB22" s="12"/>
      <c r="AC22" s="12"/>
    </row>
    <row r="23" spans="2:29" x14ac:dyDescent="0.2">
      <c r="E23" s="11" t="s">
        <v>14</v>
      </c>
      <c r="F23" s="22">
        <f t="shared" si="3"/>
        <v>61.659426789154338</v>
      </c>
      <c r="G23" s="22" cm="1">
        <f t="array" ref="G23">_xlfn.IFS(F23&lt;=0,0,AND(F23*12&gt;0,F23*12&lt;$C$6),F23*12,F23*12&gt;$C$6,$C$6)</f>
        <v>0</v>
      </c>
      <c r="H23" s="22">
        <f>IF(SUM(G$17:G23)&lt;$C$6,SUM(G$17:G23),$C$6)</f>
        <v>0</v>
      </c>
      <c r="I23" s="40">
        <f t="shared" si="0"/>
        <v>61.659426789154338</v>
      </c>
      <c r="K23" s="3"/>
      <c r="L23" s="3"/>
      <c r="M23" s="11" t="s">
        <v>14</v>
      </c>
      <c r="N23" s="22">
        <f t="shared" si="4"/>
        <v>156.73017296671904</v>
      </c>
      <c r="O23" s="22" cm="1">
        <f t="array" ref="O23">_xlfn.IFS(N23&lt;=0,0,AND(N23*12&gt;0,N23*12&lt;$C$6),N23*12,N23*12&gt;$C$6,$C$6)</f>
        <v>0</v>
      </c>
      <c r="P23" s="22">
        <f>IF(SUM(O$17:O23)&lt;$C$6,SUM(O$17:O23),$C$6)</f>
        <v>0</v>
      </c>
      <c r="Q23" s="40">
        <f t="shared" si="1"/>
        <v>156.73017296671904</v>
      </c>
      <c r="R23" s="145"/>
      <c r="S23" s="3"/>
      <c r="T23" s="3"/>
      <c r="U23" s="11" t="s">
        <v>14</v>
      </c>
      <c r="V23" s="22">
        <f t="shared" si="5"/>
        <v>256.80091914428368</v>
      </c>
      <c r="W23" s="22" cm="1">
        <f t="array" ref="W23">_xlfn.IFS(V23&lt;=0,0,AND(V23*12&gt;0,V23*12&lt;$C$6),V23*12,V23*12&gt;$C$6,$C$6)</f>
        <v>0</v>
      </c>
      <c r="X23" s="22">
        <f>IF(SUM(W$17:W23)&lt;$C$6,SUM(W$17:W23),$C$6)</f>
        <v>0</v>
      </c>
      <c r="Y23" s="40">
        <f t="shared" si="2"/>
        <v>256.80091914428368</v>
      </c>
      <c r="Z23" s="145"/>
      <c r="AB23" s="3"/>
      <c r="AC23" s="3"/>
    </row>
    <row r="24" spans="2:29" x14ac:dyDescent="0.2">
      <c r="E24" s="11" t="s">
        <v>15</v>
      </c>
      <c r="F24" s="22">
        <f t="shared" si="3"/>
        <v>61.659426789154338</v>
      </c>
      <c r="G24" s="22" cm="1">
        <f t="array" ref="G24">_xlfn.IFS(F24&lt;=0,0,AND(F24*12&gt;0,F24*12&lt;$C$6),F24*12,F24*12&gt;$C$6,$C$6)</f>
        <v>0</v>
      </c>
      <c r="H24" s="22">
        <f>IF(SUM(G$17:G24)&lt;$C$6,SUM(G$17:G24),$C$6)</f>
        <v>0</v>
      </c>
      <c r="I24" s="40">
        <f t="shared" si="0"/>
        <v>61.659426789154338</v>
      </c>
      <c r="K24" s="3"/>
      <c r="L24" s="3"/>
      <c r="M24" s="11" t="s">
        <v>15</v>
      </c>
      <c r="N24" s="22">
        <f t="shared" si="4"/>
        <v>156.73017296671904</v>
      </c>
      <c r="O24" s="22" cm="1">
        <f t="array" ref="O24">_xlfn.IFS(N24&lt;=0,0,AND(N24*12&gt;0,N24*12&lt;$C$6),N24*12,N24*12&gt;$C$6,$C$6)</f>
        <v>0</v>
      </c>
      <c r="P24" s="22">
        <f>IF(SUM(O$17:O24)&lt;$C$6,SUM(O$17:O24),$C$6)</f>
        <v>0</v>
      </c>
      <c r="Q24" s="40">
        <f t="shared" si="1"/>
        <v>156.73017296671904</v>
      </c>
      <c r="R24" s="145"/>
      <c r="S24" s="3"/>
      <c r="T24" s="3"/>
      <c r="U24" s="11" t="s">
        <v>15</v>
      </c>
      <c r="V24" s="22">
        <f t="shared" si="5"/>
        <v>256.80091914428368</v>
      </c>
      <c r="W24" s="22" cm="1">
        <f t="array" ref="W24">_xlfn.IFS(V24&lt;=0,0,AND(V24*12&gt;0,V24*12&lt;$C$6),V24*12,V24*12&gt;$C$6,$C$6)</f>
        <v>0</v>
      </c>
      <c r="X24" s="22">
        <f>IF(SUM(W$17:W24)&lt;$C$6,SUM(W$17:W24),$C$6)</f>
        <v>0</v>
      </c>
      <c r="Y24" s="40">
        <f t="shared" si="2"/>
        <v>256.80091914428368</v>
      </c>
      <c r="Z24" s="145"/>
      <c r="AB24" s="24"/>
      <c r="AC24" s="3"/>
    </row>
    <row r="25" spans="2:29" x14ac:dyDescent="0.2">
      <c r="E25" s="11" t="s">
        <v>16</v>
      </c>
      <c r="F25" s="22">
        <f t="shared" si="3"/>
        <v>61.659426789154338</v>
      </c>
      <c r="G25" s="22" cm="1">
        <f t="array" ref="G25">_xlfn.IFS(F25&lt;=0,0,AND(F25*12&gt;0,F25*12&lt;$C$6),F25*12,F25*12&gt;$C$6,$C$6)</f>
        <v>0</v>
      </c>
      <c r="H25" s="22">
        <f>IF(SUM(G$17:G25)&lt;$C$6,SUM(G$17:G25),$C$6)</f>
        <v>0</v>
      </c>
      <c r="I25" s="40">
        <f t="shared" si="0"/>
        <v>61.659426789154338</v>
      </c>
      <c r="K25" s="3"/>
      <c r="L25" s="3"/>
      <c r="M25" s="11" t="s">
        <v>16</v>
      </c>
      <c r="N25" s="22">
        <f t="shared" si="4"/>
        <v>156.73017296671904</v>
      </c>
      <c r="O25" s="22" cm="1">
        <f t="array" ref="O25">_xlfn.IFS(N25&lt;=0,0,AND(N25*12&gt;0,N25*12&lt;$C$6),N25*12,N25*12&gt;$C$6,$C$6)</f>
        <v>0</v>
      </c>
      <c r="P25" s="22">
        <f>IF(SUM(O$17:O25)&lt;$C$6,SUM(O$17:O25),$C$6)</f>
        <v>0</v>
      </c>
      <c r="Q25" s="40">
        <f t="shared" si="1"/>
        <v>156.73017296671904</v>
      </c>
      <c r="R25" s="145"/>
      <c r="S25" s="3"/>
      <c r="T25" s="3"/>
      <c r="U25" s="11" t="s">
        <v>16</v>
      </c>
      <c r="V25" s="22">
        <f t="shared" si="5"/>
        <v>256.80091914428368</v>
      </c>
      <c r="W25" s="22" cm="1">
        <f t="array" ref="W25">_xlfn.IFS(V25&lt;=0,0,AND(V25*12&gt;0,V25*12&lt;$C$6),V25*12,V25*12&gt;$C$6,$C$6)</f>
        <v>0</v>
      </c>
      <c r="X25" s="22">
        <f>IF(SUM(W$17:W25)&lt;$C$6,SUM(W$17:W25),$C$6)</f>
        <v>0</v>
      </c>
      <c r="Y25" s="40">
        <f t="shared" si="2"/>
        <v>256.80091914428368</v>
      </c>
      <c r="Z25" s="145"/>
    </row>
    <row r="26" spans="2:29" x14ac:dyDescent="0.2">
      <c r="E26" s="11" t="s">
        <v>17</v>
      </c>
      <c r="F26" s="22">
        <f t="shared" si="3"/>
        <v>61.659426789154338</v>
      </c>
      <c r="G26" s="22" cm="1">
        <f t="array" ref="G26">_xlfn.IFS(F26&lt;=0,0,AND(F26*12&gt;0,F26*12&lt;$C$6),F26*12,F26*12&gt;$C$6,$C$6)</f>
        <v>0</v>
      </c>
      <c r="H26" s="22">
        <f>IF(SUM(G$17:G26)&lt;$C$6,SUM(G$17:G26),$C$6)</f>
        <v>0</v>
      </c>
      <c r="I26" s="40">
        <f t="shared" si="0"/>
        <v>61.659426789154338</v>
      </c>
      <c r="K26" s="3"/>
      <c r="L26" s="3"/>
      <c r="M26" s="11" t="s">
        <v>17</v>
      </c>
      <c r="N26" s="22">
        <f t="shared" si="4"/>
        <v>156.73017296671904</v>
      </c>
      <c r="O26" s="22" cm="1">
        <f t="array" ref="O26">_xlfn.IFS(N26&lt;=0,0,AND(N26*12&gt;0,N26*12&lt;$C$6),N26*12,N26*12&gt;$C$6,$C$6)</f>
        <v>0</v>
      </c>
      <c r="P26" s="22">
        <f>IF(SUM(O$17:O26)&lt;$C$6,SUM(O$17:O26),$C$6)</f>
        <v>0</v>
      </c>
      <c r="Q26" s="40">
        <f t="shared" si="1"/>
        <v>156.73017296671904</v>
      </c>
      <c r="R26" s="145"/>
      <c r="S26" s="3"/>
      <c r="T26" s="3"/>
      <c r="U26" s="11" t="s">
        <v>17</v>
      </c>
      <c r="V26" s="22">
        <f t="shared" si="5"/>
        <v>256.80091914428368</v>
      </c>
      <c r="W26" s="22" cm="1">
        <f t="array" ref="W26">_xlfn.IFS(V26&lt;=0,0,AND(V26*12&gt;0,V26*12&lt;$C$6),V26*12,V26*12&gt;$C$6,$C$6)</f>
        <v>0</v>
      </c>
      <c r="X26" s="22">
        <f>IF(SUM(W$17:W26)&lt;$C$6,SUM(W$17:W26),$C$6)</f>
        <v>0</v>
      </c>
      <c r="Y26" s="40">
        <f t="shared" si="2"/>
        <v>256.80091914428368</v>
      </c>
      <c r="Z26" s="145"/>
    </row>
    <row r="27" spans="2:29" x14ac:dyDescent="0.2">
      <c r="E27" s="9" t="s">
        <v>18</v>
      </c>
      <c r="F27" s="41">
        <f>SUM(F17:F26)*12</f>
        <v>7399.1312146985219</v>
      </c>
      <c r="G27" s="41"/>
      <c r="H27" s="41">
        <f>H26</f>
        <v>0</v>
      </c>
      <c r="I27" s="41"/>
      <c r="K27" s="12"/>
      <c r="L27" s="12"/>
      <c r="M27" s="12"/>
      <c r="N27" s="41">
        <f>SUM(N17:N26)*12</f>
        <v>18807.620756006283</v>
      </c>
      <c r="O27" s="41"/>
      <c r="P27" s="41">
        <f>P26</f>
        <v>0</v>
      </c>
      <c r="Q27" s="41"/>
      <c r="R27" s="41"/>
      <c r="S27" s="12"/>
      <c r="T27" s="12"/>
      <c r="U27" s="12"/>
      <c r="V27" s="41">
        <f>SUM(V17:V26)*12</f>
        <v>30816.110297314044</v>
      </c>
      <c r="W27" s="41"/>
      <c r="X27" s="41">
        <f>X26</f>
        <v>0</v>
      </c>
      <c r="Y27" s="41"/>
      <c r="Z27" s="41"/>
      <c r="AB27" s="4"/>
      <c r="AC27" s="2"/>
    </row>
    <row r="28" spans="2:29" ht="16" thickBot="1" x14ac:dyDescent="0.25">
      <c r="G28" s="3"/>
      <c r="H28" s="3"/>
      <c r="I28" s="3"/>
      <c r="K28" s="3"/>
      <c r="L28" s="3"/>
      <c r="M28" s="3"/>
      <c r="N28" s="3"/>
      <c r="O28" s="3"/>
      <c r="P28" s="3"/>
      <c r="Q28" s="3"/>
      <c r="R28" s="3"/>
      <c r="S28" s="3"/>
      <c r="T28" s="3"/>
      <c r="U28" s="3"/>
      <c r="W28" s="3"/>
      <c r="X28" s="3"/>
      <c r="Y28" s="3"/>
      <c r="Z28" s="3"/>
    </row>
    <row r="29" spans="2:29" ht="16" thickBot="1" x14ac:dyDescent="0.25">
      <c r="G29" s="17" t="s">
        <v>49</v>
      </c>
      <c r="H29" s="117"/>
      <c r="I29" s="42">
        <f>SUM(I17:I26)*12</f>
        <v>7399.1312146985219</v>
      </c>
      <c r="K29" s="3"/>
      <c r="L29" s="3"/>
      <c r="N29" s="3"/>
      <c r="O29" s="17" t="s">
        <v>49</v>
      </c>
      <c r="P29" s="117"/>
      <c r="Q29" s="42">
        <f>SUM(Q17:Q26)*12</f>
        <v>18807.620756006283</v>
      </c>
      <c r="R29" s="42"/>
      <c r="S29" s="3"/>
      <c r="T29" s="3"/>
      <c r="W29" s="17" t="s">
        <v>49</v>
      </c>
      <c r="X29" s="117"/>
      <c r="Y29" s="42">
        <f>SUM(Y17:Y26)*12</f>
        <v>30816.110297314044</v>
      </c>
      <c r="Z29" s="42"/>
    </row>
    <row r="30" spans="2:29" x14ac:dyDescent="0.2">
      <c r="F30" s="221"/>
      <c r="G30" s="221"/>
      <c r="H30" s="221"/>
      <c r="I30" s="221"/>
      <c r="J30" s="221"/>
      <c r="L30" s="22"/>
      <c r="N30" s="221"/>
      <c r="O30" s="221"/>
      <c r="P30" s="221"/>
      <c r="Q30" s="221"/>
      <c r="R30" s="221"/>
    </row>
    <row r="31" spans="2:29" x14ac:dyDescent="0.2">
      <c r="F31"/>
      <c r="G31" s="3"/>
      <c r="O31" s="3"/>
    </row>
    <row r="32" spans="2:29" x14ac:dyDescent="0.2">
      <c r="F32" s="46"/>
      <c r="G32" s="46"/>
      <c r="H32" s="46"/>
      <c r="I32" s="46"/>
      <c r="J32" s="46"/>
      <c r="K32" s="3"/>
      <c r="N32" s="46"/>
      <c r="O32" s="46"/>
      <c r="P32" s="46"/>
      <c r="Q32" s="46"/>
      <c r="R32" s="46"/>
    </row>
    <row r="33" spans="5:18" x14ac:dyDescent="0.2">
      <c r="E33" s="48"/>
      <c r="F33" s="47"/>
      <c r="G33" s="47"/>
      <c r="H33" s="47"/>
      <c r="I33" s="47"/>
      <c r="J33" s="47"/>
      <c r="K33" s="3"/>
      <c r="M33" s="36"/>
      <c r="N33" s="47"/>
      <c r="O33" s="47"/>
      <c r="P33" s="47"/>
      <c r="Q33" s="47"/>
      <c r="R33" s="47"/>
    </row>
    <row r="34" spans="5:18" x14ac:dyDescent="0.2">
      <c r="E34" s="48"/>
      <c r="F34" s="47"/>
      <c r="G34" s="47"/>
      <c r="H34" s="47"/>
      <c r="I34" s="47"/>
      <c r="J34" s="47"/>
      <c r="K34" s="3"/>
      <c r="M34" s="36"/>
      <c r="N34" s="47"/>
      <c r="O34" s="47"/>
      <c r="P34" s="47"/>
      <c r="Q34" s="47"/>
      <c r="R34" s="47"/>
    </row>
    <row r="35" spans="5:18" x14ac:dyDescent="0.2">
      <c r="E35" s="48"/>
      <c r="F35" s="47"/>
      <c r="G35" s="47"/>
      <c r="H35" s="47"/>
      <c r="I35" s="47"/>
      <c r="J35" s="47"/>
      <c r="M35" s="36"/>
      <c r="N35" s="47"/>
      <c r="O35" s="47"/>
      <c r="P35" s="47"/>
      <c r="Q35" s="47"/>
      <c r="R35" s="47"/>
    </row>
    <row r="36" spans="5:18" x14ac:dyDescent="0.2">
      <c r="E36" s="36"/>
      <c r="F36"/>
      <c r="G36" s="3"/>
      <c r="H36" s="3"/>
      <c r="I36" s="3"/>
      <c r="M36" s="36"/>
      <c r="O36" s="3"/>
      <c r="P36" s="3"/>
      <c r="Q36" s="3"/>
    </row>
    <row r="37" spans="5:18" x14ac:dyDescent="0.2">
      <c r="F37"/>
      <c r="G37" s="3"/>
      <c r="O37" s="3"/>
    </row>
    <row r="38" spans="5:18" x14ac:dyDescent="0.2">
      <c r="F38"/>
      <c r="G38" s="3"/>
      <c r="O38" s="3"/>
    </row>
    <row r="39" spans="5:18" x14ac:dyDescent="0.2">
      <c r="F39" s="221"/>
      <c r="G39" s="221"/>
      <c r="H39" s="221"/>
      <c r="I39" s="221"/>
      <c r="J39" s="221"/>
      <c r="N39" s="221"/>
      <c r="O39" s="221"/>
      <c r="P39" s="221"/>
      <c r="Q39" s="221"/>
      <c r="R39" s="221"/>
    </row>
    <row r="40" spans="5:18" x14ac:dyDescent="0.2">
      <c r="F40"/>
      <c r="G40" s="3"/>
      <c r="O40" s="3"/>
    </row>
    <row r="41" spans="5:18" x14ac:dyDescent="0.2">
      <c r="F41" s="46"/>
      <c r="G41" s="46"/>
      <c r="H41" s="46"/>
      <c r="I41" s="46"/>
      <c r="J41" s="46"/>
      <c r="N41" s="46"/>
      <c r="O41" s="46"/>
      <c r="P41" s="46"/>
      <c r="Q41" s="46"/>
      <c r="R41" s="46"/>
    </row>
    <row r="42" spans="5:18" x14ac:dyDescent="0.2">
      <c r="E42" s="48"/>
      <c r="F42" s="47"/>
      <c r="G42" s="47"/>
      <c r="H42" s="47"/>
      <c r="I42" s="47"/>
      <c r="J42" s="47"/>
      <c r="M42" s="36"/>
      <c r="N42" s="47"/>
      <c r="O42" s="47"/>
      <c r="P42" s="47"/>
      <c r="Q42" s="47"/>
      <c r="R42" s="47"/>
    </row>
    <row r="43" spans="5:18" x14ac:dyDescent="0.2">
      <c r="E43" s="48"/>
      <c r="F43" s="47"/>
      <c r="G43" s="47"/>
      <c r="H43" s="47"/>
      <c r="I43" s="47"/>
      <c r="J43" s="47"/>
      <c r="M43" s="36"/>
      <c r="N43" s="47"/>
      <c r="O43" s="47"/>
      <c r="P43" s="47"/>
      <c r="Q43" s="47"/>
      <c r="R43" s="47"/>
    </row>
    <row r="44" spans="5:18" x14ac:dyDescent="0.2">
      <c r="E44" s="48"/>
      <c r="F44" s="47"/>
      <c r="G44" s="47"/>
      <c r="H44" s="47"/>
      <c r="I44" s="47"/>
      <c r="J44" s="47"/>
      <c r="M44" s="36"/>
      <c r="N44" s="47"/>
      <c r="O44" s="47"/>
      <c r="P44" s="47"/>
      <c r="Q44" s="47"/>
      <c r="R44" s="47"/>
    </row>
    <row r="45" spans="5:18" x14ac:dyDescent="0.2">
      <c r="F45"/>
      <c r="G45" s="3"/>
    </row>
  </sheetData>
  <mergeCells count="9">
    <mergeCell ref="AA2:AB2"/>
    <mergeCell ref="B8:C8"/>
    <mergeCell ref="F30:J30"/>
    <mergeCell ref="N30:R30"/>
    <mergeCell ref="F39:J39"/>
    <mergeCell ref="N39:R39"/>
    <mergeCell ref="F2:J2"/>
    <mergeCell ref="N2:R2"/>
    <mergeCell ref="V2:Z2"/>
  </mergeCells>
  <conditionalFormatting sqref="G17:H26 O17:P26 W17:X26">
    <cfRule type="cellIs" dxfId="30" priority="14" operator="equal">
      <formula>$C$6</formula>
    </cfRule>
  </conditionalFormatting>
  <conditionalFormatting sqref="G17:I26 K17:L26">
    <cfRule type="cellIs" dxfId="29" priority="13" operator="equal">
      <formula>6500</formula>
    </cfRule>
  </conditionalFormatting>
  <conditionalFormatting sqref="I29 K29:L29 Q29:T29">
    <cfRule type="cellIs" dxfId="28" priority="11" operator="lessThan">
      <formula>0</formula>
    </cfRule>
    <cfRule type="cellIs" dxfId="27" priority="12" operator="greaterThan">
      <formula>0</formula>
    </cfRule>
  </conditionalFormatting>
  <conditionalFormatting sqref="O17:T26">
    <cfRule type="cellIs" dxfId="26" priority="6" operator="equal">
      <formula>6500</formula>
    </cfRule>
  </conditionalFormatting>
  <conditionalFormatting sqref="W17:Z26">
    <cfRule type="cellIs" dxfId="25" priority="5" operator="equal">
      <formula>6500</formula>
    </cfRule>
  </conditionalFormatting>
  <conditionalFormatting sqref="Y29:Z29">
    <cfRule type="cellIs" dxfId="24" priority="1" operator="lessThan">
      <formula>0</formula>
    </cfRule>
    <cfRule type="cellIs" dxfId="23" priority="2" operator="greaterThan">
      <formula>0</formula>
    </cfRule>
  </conditionalFormatting>
  <conditionalFormatting sqref="AC12:AC21">
    <cfRule type="cellIs" dxfId="22" priority="17" operator="equal">
      <formula>6500</formula>
    </cfRule>
  </conditionalFormatting>
  <conditionalFormatting sqref="AC24">
    <cfRule type="cellIs" dxfId="21" priority="15" operator="lessThan">
      <formula>0</formula>
    </cfRule>
    <cfRule type="cellIs" dxfId="20" priority="16" operator="greaterThan">
      <formula>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E38EF-FA54-DF49-8D7B-DE5D6EE6A8DF}">
  <dimension ref="A1:X52"/>
  <sheetViews>
    <sheetView topLeftCell="A10" zoomScale="125" workbookViewId="0">
      <selection activeCell="H19" sqref="H19"/>
    </sheetView>
  </sheetViews>
  <sheetFormatPr baseColWidth="10" defaultRowHeight="15" x14ac:dyDescent="0.2"/>
  <cols>
    <col min="1" max="1" width="12.33203125" customWidth="1"/>
    <col min="2" max="2" width="17.33203125" hidden="1" customWidth="1"/>
    <col min="3" max="3" width="10.1640625" hidden="1" customWidth="1"/>
    <col min="4" max="4" width="10.1640625" customWidth="1"/>
    <col min="5" max="5" width="11.33203125" customWidth="1"/>
    <col min="6" max="6" width="15.83203125" style="3" customWidth="1"/>
    <col min="7" max="7" width="17.1640625" customWidth="1"/>
    <col min="8" max="8" width="12.5" customWidth="1"/>
    <col min="9" max="9" width="15.6640625" customWidth="1"/>
    <col min="10" max="10" width="10.33203125" customWidth="1"/>
    <col min="11" max="11" width="9.1640625" customWidth="1"/>
    <col min="12" max="12" width="13.1640625" customWidth="1"/>
    <col min="13" max="14" width="16.5" customWidth="1"/>
    <col min="15" max="15" width="11.5" customWidth="1"/>
    <col min="16" max="16" width="13.6640625" customWidth="1"/>
    <col min="17" max="17" width="8.1640625" customWidth="1"/>
    <col min="18" max="18" width="8.83203125" customWidth="1"/>
    <col min="19" max="19" width="9.5" customWidth="1"/>
    <col min="20" max="20" width="21.33203125" style="3" customWidth="1"/>
    <col min="21" max="21" width="20.5" customWidth="1"/>
    <col min="22" max="22" width="12.33203125" customWidth="1"/>
    <col min="23" max="23" width="14.5" customWidth="1"/>
    <col min="24" max="24" width="18.1640625" style="3" customWidth="1"/>
  </cols>
  <sheetData>
    <row r="1" spans="1:24" ht="24" x14ac:dyDescent="0.3">
      <c r="F1" s="7"/>
      <c r="N1" s="8"/>
    </row>
    <row r="2" spans="1:24" ht="16" thickBot="1" x14ac:dyDescent="0.25">
      <c r="B2" s="9"/>
      <c r="M2" s="3"/>
    </row>
    <row r="3" spans="1:24" ht="16" thickBot="1" x14ac:dyDescent="0.25">
      <c r="B3" s="18" t="s">
        <v>20</v>
      </c>
      <c r="C3" s="19"/>
      <c r="D3" s="26"/>
      <c r="F3" s="230" t="s">
        <v>0</v>
      </c>
      <c r="G3" s="230"/>
      <c r="H3" s="230"/>
      <c r="I3" s="230"/>
      <c r="M3" s="230" t="s">
        <v>1</v>
      </c>
      <c r="N3" s="230"/>
      <c r="O3" s="230"/>
      <c r="P3" s="230"/>
      <c r="T3" s="230" t="s">
        <v>2</v>
      </c>
      <c r="U3" s="230"/>
      <c r="V3" s="230"/>
      <c r="W3" s="230"/>
      <c r="X3"/>
    </row>
    <row r="4" spans="1:24" x14ac:dyDescent="0.2">
      <c r="B4" s="15" t="s">
        <v>21</v>
      </c>
      <c r="C4" s="93">
        <f>Input!C5</f>
        <v>1500</v>
      </c>
      <c r="D4" s="27"/>
      <c r="F4" s="38">
        <f>Input!F5</f>
        <v>25000</v>
      </c>
      <c r="G4" s="11" t="s">
        <v>3</v>
      </c>
      <c r="H4" s="11"/>
      <c r="I4" s="11"/>
      <c r="J4" s="11"/>
      <c r="K4" s="11"/>
      <c r="L4" s="11"/>
      <c r="M4" s="38">
        <f>Input!F6</f>
        <v>50000</v>
      </c>
      <c r="N4" s="11" t="s">
        <v>3</v>
      </c>
      <c r="O4" s="11"/>
      <c r="P4" s="11"/>
      <c r="Q4" s="11"/>
      <c r="R4" s="11"/>
      <c r="S4" s="11"/>
      <c r="T4" s="39">
        <f>Input!F7</f>
        <v>75000</v>
      </c>
      <c r="U4" s="11" t="s">
        <v>4</v>
      </c>
      <c r="V4" s="11"/>
      <c r="W4" s="11"/>
      <c r="X4" s="10"/>
    </row>
    <row r="5" spans="1:24" x14ac:dyDescent="0.2">
      <c r="B5" s="15" t="s">
        <v>22</v>
      </c>
      <c r="C5" s="94">
        <f>Input!C6</f>
        <v>2500</v>
      </c>
      <c r="F5" s="54">
        <f>Input!G5</f>
        <v>35</v>
      </c>
      <c r="G5" s="36" t="s">
        <v>5</v>
      </c>
      <c r="H5" s="36"/>
      <c r="I5" s="36"/>
      <c r="J5" s="36"/>
      <c r="K5" s="36"/>
      <c r="L5" s="36"/>
      <c r="M5" s="55">
        <f>Input!G6</f>
        <v>55</v>
      </c>
      <c r="N5" s="36" t="s">
        <v>5</v>
      </c>
      <c r="O5" s="36"/>
      <c r="P5" s="36"/>
      <c r="Q5" s="36"/>
      <c r="R5" s="36"/>
      <c r="S5" s="36"/>
      <c r="T5" s="56">
        <f>Input!G7</f>
        <v>70</v>
      </c>
      <c r="U5" t="s">
        <v>5</v>
      </c>
    </row>
    <row r="6" spans="1:24" ht="16" thickBot="1" x14ac:dyDescent="0.25">
      <c r="A6" s="9"/>
      <c r="B6" s="16" t="s">
        <v>23</v>
      </c>
      <c r="C6" s="95">
        <f>Input!C7</f>
        <v>0</v>
      </c>
      <c r="F6" s="37">
        <f>SUM($C$4:$C$6)</f>
        <v>4000</v>
      </c>
      <c r="G6" t="s">
        <v>28</v>
      </c>
      <c r="M6" s="37">
        <f>SUM($C$4:$C$6)</f>
        <v>4000</v>
      </c>
      <c r="N6" t="s">
        <v>28</v>
      </c>
      <c r="T6" s="37">
        <f>SUM($C$4:$C$6)</f>
        <v>4000</v>
      </c>
      <c r="U6" t="s">
        <v>28</v>
      </c>
      <c r="V6" s="9"/>
      <c r="W6" s="9"/>
      <c r="X6" s="12"/>
    </row>
    <row r="7" spans="1:24" ht="16" thickBot="1" x14ac:dyDescent="0.25">
      <c r="B7" s="30" t="s">
        <v>24</v>
      </c>
      <c r="C7" s="96"/>
      <c r="D7" s="28"/>
      <c r="F7" s="38">
        <f>F4-F6</f>
        <v>21000</v>
      </c>
      <c r="G7" s="11" t="s">
        <v>27</v>
      </c>
      <c r="H7" s="9"/>
      <c r="M7" s="38">
        <f>M4-M6</f>
        <v>46000</v>
      </c>
      <c r="N7" s="11" t="s">
        <v>27</v>
      </c>
      <c r="T7" s="39">
        <f>T4-T6</f>
        <v>71000</v>
      </c>
      <c r="U7" s="11" t="s">
        <v>27</v>
      </c>
    </row>
    <row r="8" spans="1:24" ht="16" thickBot="1" x14ac:dyDescent="0.25">
      <c r="C8" s="49"/>
      <c r="D8" s="28"/>
      <c r="F8" s="22">
        <f>$C$10*F7</f>
        <v>21000</v>
      </c>
      <c r="G8" s="11" t="s">
        <v>67</v>
      </c>
      <c r="H8" s="4"/>
      <c r="I8" s="9"/>
      <c r="J8" s="9"/>
      <c r="K8" s="9"/>
      <c r="L8" s="9"/>
      <c r="M8" s="22">
        <f>$C$10*M7</f>
        <v>46000</v>
      </c>
      <c r="N8" s="11" t="s">
        <v>67</v>
      </c>
      <c r="O8" s="9"/>
      <c r="P8" s="9"/>
      <c r="Q8" s="9"/>
      <c r="R8" s="9"/>
      <c r="S8" s="9"/>
      <c r="T8" s="22">
        <f>$C$10*T7</f>
        <v>71000</v>
      </c>
      <c r="U8" s="11" t="s">
        <v>67</v>
      </c>
      <c r="X8" s="20"/>
    </row>
    <row r="9" spans="1:24" ht="16" thickBot="1" x14ac:dyDescent="0.25">
      <c r="B9" s="227" t="s">
        <v>71</v>
      </c>
      <c r="C9" s="228"/>
      <c r="D9" s="29"/>
      <c r="F9" s="22">
        <f>IFERROR(PMT($C$11/12,$C$14*12,-F8),0)</f>
        <v>96.659426789154338</v>
      </c>
      <c r="G9" s="11" t="s">
        <v>72</v>
      </c>
      <c r="H9" s="1"/>
      <c r="I9" s="4"/>
      <c r="J9" s="4"/>
      <c r="K9" s="4"/>
      <c r="L9" s="4"/>
      <c r="M9" s="22">
        <f>IFERROR(PMT($C$11/12,$C$14*12,-M8),0)</f>
        <v>211.73017296671904</v>
      </c>
      <c r="N9" s="11" t="s">
        <v>72</v>
      </c>
      <c r="T9" s="22">
        <f>IFERROR(PMT($C$11/12,$C$14*12,-T8),0)</f>
        <v>326.80091914428368</v>
      </c>
      <c r="U9" s="11" t="s">
        <v>72</v>
      </c>
      <c r="X9" s="22"/>
    </row>
    <row r="10" spans="1:24" x14ac:dyDescent="0.2">
      <c r="B10" s="87" t="s">
        <v>67</v>
      </c>
      <c r="C10" s="97">
        <f>Input!C14</f>
        <v>1</v>
      </c>
      <c r="D10" s="29"/>
      <c r="F10" s="22">
        <f>$C$15*F7</f>
        <v>0</v>
      </c>
      <c r="G10" s="11" t="s">
        <v>69</v>
      </c>
      <c r="H10" s="1"/>
      <c r="I10" s="4"/>
      <c r="J10" s="4"/>
      <c r="K10" s="4"/>
      <c r="L10" s="4"/>
      <c r="M10" s="22">
        <f>$C$15*M7</f>
        <v>0</v>
      </c>
      <c r="N10" s="11" t="s">
        <v>69</v>
      </c>
      <c r="O10" s="1"/>
      <c r="P10" s="1"/>
      <c r="Q10" s="1"/>
      <c r="R10" s="1"/>
      <c r="S10" s="1"/>
      <c r="T10" s="22">
        <f>$C$15*T7</f>
        <v>0</v>
      </c>
      <c r="U10" s="11" t="s">
        <v>69</v>
      </c>
      <c r="X10" s="22"/>
    </row>
    <row r="11" spans="1:24" x14ac:dyDescent="0.2">
      <c r="B11" s="88" t="s">
        <v>68</v>
      </c>
      <c r="C11" s="98">
        <f>Input!C15</f>
        <v>3.6999999999999998E-2</v>
      </c>
      <c r="D11" s="29"/>
      <c r="F11" s="22">
        <f>IFERROR(PMT($C$16/12,$C$17*12,-F10),0)</f>
        <v>0</v>
      </c>
      <c r="G11" s="11" t="s">
        <v>73</v>
      </c>
      <c r="H11" s="1"/>
      <c r="I11" s="4"/>
      <c r="J11" s="4"/>
      <c r="K11" s="4"/>
      <c r="L11" s="4"/>
      <c r="M11" s="22">
        <f>IFERROR(PMT($C$16/12,$C$17*12,-M10),0)</f>
        <v>0</v>
      </c>
      <c r="N11" s="11" t="s">
        <v>73</v>
      </c>
      <c r="O11" s="1"/>
      <c r="P11" s="1"/>
      <c r="Q11" s="1"/>
      <c r="R11" s="1"/>
      <c r="S11" s="1"/>
      <c r="T11" s="22">
        <f>IFERROR(PMT($C$16/12,$C$17*12,-T10),0)</f>
        <v>0</v>
      </c>
      <c r="U11" s="11" t="s">
        <v>73</v>
      </c>
      <c r="X11" s="22"/>
    </row>
    <row r="12" spans="1:24" x14ac:dyDescent="0.2">
      <c r="B12" s="88"/>
      <c r="C12" s="98"/>
      <c r="D12" s="29"/>
      <c r="F12" s="22"/>
      <c r="G12" s="11"/>
      <c r="H12" s="1"/>
      <c r="I12" s="4"/>
      <c r="J12" s="4"/>
      <c r="K12" s="4"/>
      <c r="L12" s="4"/>
      <c r="M12" s="22"/>
      <c r="N12" s="11"/>
      <c r="O12" s="1"/>
      <c r="P12" s="1"/>
      <c r="Q12" s="1"/>
      <c r="R12" s="1"/>
      <c r="S12" s="1"/>
      <c r="T12" s="22"/>
      <c r="U12" s="11"/>
      <c r="X12" s="22"/>
    </row>
    <row r="13" spans="1:24" x14ac:dyDescent="0.2">
      <c r="B13" s="88"/>
      <c r="C13" s="98"/>
      <c r="D13" s="29"/>
      <c r="F13" s="22">
        <f>Input!$C$23/66</f>
        <v>150</v>
      </c>
      <c r="G13" s="11" t="s">
        <v>104</v>
      </c>
      <c r="H13" s="1"/>
      <c r="I13" s="4"/>
      <c r="J13" s="4"/>
      <c r="K13" s="4"/>
      <c r="L13" s="4"/>
      <c r="M13" s="22">
        <f>Input!$C$23/66</f>
        <v>150</v>
      </c>
      <c r="N13" s="11" t="s">
        <v>104</v>
      </c>
      <c r="O13" s="1"/>
      <c r="P13" s="1"/>
      <c r="Q13" s="1"/>
      <c r="R13" s="1"/>
      <c r="S13" s="1"/>
      <c r="T13" s="22">
        <f>Input!$C$23/66</f>
        <v>150</v>
      </c>
      <c r="U13" s="11" t="s">
        <v>104</v>
      </c>
      <c r="X13" s="22"/>
    </row>
    <row r="14" spans="1:24" ht="16" thickBot="1" x14ac:dyDescent="0.25">
      <c r="B14" s="89" t="s">
        <v>74</v>
      </c>
      <c r="C14" s="99">
        <f>Input!C16</f>
        <v>30</v>
      </c>
      <c r="D14" s="29"/>
      <c r="H14" s="1"/>
      <c r="I14" s="4"/>
      <c r="J14" s="4"/>
      <c r="K14" s="4"/>
      <c r="L14" s="4"/>
      <c r="M14" s="3"/>
      <c r="O14" s="1"/>
      <c r="P14" s="1"/>
      <c r="Q14" s="1"/>
      <c r="R14" s="1"/>
      <c r="S14" s="1"/>
      <c r="X14" s="22"/>
    </row>
    <row r="15" spans="1:24" x14ac:dyDescent="0.2">
      <c r="B15" s="88" t="s">
        <v>69</v>
      </c>
      <c r="C15" s="98">
        <f>Input!C17</f>
        <v>0</v>
      </c>
      <c r="D15" s="29"/>
      <c r="F15" s="21">
        <f>F9+F11</f>
        <v>96.659426789154338</v>
      </c>
      <c r="G15" t="s">
        <v>29</v>
      </c>
      <c r="H15" s="1"/>
      <c r="I15" s="4"/>
      <c r="J15" s="4"/>
      <c r="K15" s="4"/>
      <c r="L15" s="4"/>
      <c r="M15" s="21">
        <f>M9+M11</f>
        <v>211.73017296671904</v>
      </c>
      <c r="N15" t="s">
        <v>29</v>
      </c>
      <c r="O15" s="1"/>
      <c r="P15" s="1"/>
      <c r="Q15" s="1"/>
      <c r="R15" s="1"/>
      <c r="S15" s="1"/>
      <c r="T15" s="21">
        <f>T9+T11</f>
        <v>326.80091914428368</v>
      </c>
      <c r="U15" t="s">
        <v>29</v>
      </c>
      <c r="X15" s="22"/>
    </row>
    <row r="16" spans="1:24" x14ac:dyDescent="0.2">
      <c r="B16" s="88" t="s">
        <v>70</v>
      </c>
      <c r="C16" s="100">
        <f>Input!C18</f>
        <v>0</v>
      </c>
      <c r="F16" s="31">
        <f>F15-F5</f>
        <v>61.659426789154338</v>
      </c>
      <c r="G16" s="1" t="s">
        <v>6</v>
      </c>
      <c r="I16" s="1"/>
      <c r="J16" s="1"/>
      <c r="K16" s="1"/>
      <c r="L16" s="1"/>
      <c r="M16" s="31">
        <f>M15-M5</f>
        <v>156.73017296671904</v>
      </c>
      <c r="N16" s="1" t="s">
        <v>6</v>
      </c>
      <c r="O16" s="1"/>
      <c r="P16" s="1"/>
      <c r="Q16" s="1"/>
      <c r="R16" s="1"/>
      <c r="S16" s="1"/>
      <c r="T16" s="31">
        <f>T15-T5</f>
        <v>256.80091914428368</v>
      </c>
      <c r="U16" s="1" t="s">
        <v>6</v>
      </c>
      <c r="V16" s="1"/>
      <c r="W16" s="1"/>
      <c r="X16" s="23"/>
    </row>
    <row r="17" spans="1:24" ht="16" thickBot="1" x14ac:dyDescent="0.25">
      <c r="A17" s="1"/>
      <c r="B17" s="89" t="s">
        <v>75</v>
      </c>
      <c r="C17" s="99">
        <f>Input!C19</f>
        <v>0</v>
      </c>
      <c r="D17" s="1"/>
      <c r="E17" s="1"/>
      <c r="F17" s="1"/>
      <c r="G17" s="1"/>
      <c r="H17" s="1"/>
      <c r="I17" s="1"/>
      <c r="J17" s="1"/>
      <c r="K17" s="1"/>
      <c r="L17" s="1"/>
      <c r="M17" s="1"/>
      <c r="N17" s="1"/>
      <c r="O17" s="1"/>
      <c r="P17" s="1"/>
      <c r="Q17" s="1"/>
      <c r="R17" s="1"/>
      <c r="S17" s="1"/>
      <c r="T17" s="1"/>
      <c r="U17" s="1"/>
      <c r="V17" s="1"/>
      <c r="W17" s="1"/>
      <c r="X17" s="1"/>
    </row>
    <row r="18" spans="1:24" ht="112" x14ac:dyDescent="0.2">
      <c r="F18" s="32" t="s">
        <v>7</v>
      </c>
      <c r="G18" s="71" t="s">
        <v>25</v>
      </c>
      <c r="H18" s="71" t="s">
        <v>86</v>
      </c>
      <c r="I18" s="6"/>
      <c r="J18" s="6"/>
      <c r="K18" s="6"/>
      <c r="L18" s="6"/>
      <c r="M18" s="32" t="s">
        <v>7</v>
      </c>
      <c r="N18" s="71" t="s">
        <v>25</v>
      </c>
      <c r="O18" s="71" t="s">
        <v>86</v>
      </c>
      <c r="P18" s="6"/>
      <c r="Q18" s="6"/>
      <c r="R18" s="6"/>
      <c r="S18" s="6"/>
      <c r="T18" s="32" t="s">
        <v>7</v>
      </c>
      <c r="U18" s="71" t="s">
        <v>25</v>
      </c>
      <c r="V18" s="71" t="s">
        <v>86</v>
      </c>
      <c r="W18" s="6"/>
      <c r="X18" s="5"/>
    </row>
    <row r="19" spans="1:24" x14ac:dyDescent="0.2">
      <c r="D19" s="28"/>
      <c r="E19" s="11" t="s">
        <v>8</v>
      </c>
      <c r="F19" s="22">
        <f>IF(F$9&lt;F13,F$9,F13)</f>
        <v>96.659426789154338</v>
      </c>
      <c r="G19" s="22">
        <f>F$16-F19</f>
        <v>-35</v>
      </c>
      <c r="H19" s="22">
        <f>IF(G19&lt;0,0,G19)</f>
        <v>0</v>
      </c>
      <c r="I19" s="22"/>
      <c r="J19" s="3"/>
      <c r="K19" s="3"/>
      <c r="L19" s="11" t="s">
        <v>8</v>
      </c>
      <c r="M19" s="22">
        <f>IF(M$9&lt;M13,M$9,M13)</f>
        <v>150</v>
      </c>
      <c r="N19" s="22">
        <f>M$16-M19</f>
        <v>6.7301729667190386</v>
      </c>
      <c r="O19" s="22">
        <f>IF(N19&lt;0,0,N19)</f>
        <v>6.7301729667190386</v>
      </c>
      <c r="P19" s="22"/>
      <c r="Q19" s="3"/>
      <c r="R19" s="3"/>
      <c r="S19" s="11" t="s">
        <v>8</v>
      </c>
      <c r="T19" s="22">
        <f>IF(T$9&lt;T13,T$9,T13)</f>
        <v>150</v>
      </c>
      <c r="U19" s="22">
        <f>T$16-T19</f>
        <v>106.80091914428368</v>
      </c>
      <c r="V19" s="22">
        <f>IF(U19&lt;0,0,U19)</f>
        <v>106.80091914428368</v>
      </c>
      <c r="W19" s="22"/>
    </row>
    <row r="20" spans="1:24" x14ac:dyDescent="0.2">
      <c r="D20" s="28"/>
      <c r="E20" s="11" t="s">
        <v>9</v>
      </c>
      <c r="F20" s="22">
        <f>$F$19*0.9</f>
        <v>86.99348411023891</v>
      </c>
      <c r="G20" s="22">
        <f t="shared" ref="G20:G28" si="0">F$16-F20</f>
        <v>-25.334057321084572</v>
      </c>
      <c r="H20" s="22">
        <f t="shared" ref="H20:H28" si="1">IF(G20&lt;0,0,G20)</f>
        <v>0</v>
      </c>
      <c r="I20" s="22"/>
      <c r="J20" s="3"/>
      <c r="K20" s="3"/>
      <c r="L20" s="11" t="s">
        <v>9</v>
      </c>
      <c r="M20" s="22">
        <f>M$19*0.9</f>
        <v>135</v>
      </c>
      <c r="N20" s="22">
        <f>M$16-M20</f>
        <v>21.730172966719039</v>
      </c>
      <c r="O20" s="22">
        <f t="shared" ref="O20:O28" si="2">IF(N20&lt;0,0,N20)</f>
        <v>21.730172966719039</v>
      </c>
      <c r="P20" s="22"/>
      <c r="Q20" s="3"/>
      <c r="R20" s="3"/>
      <c r="S20" s="11" t="s">
        <v>9</v>
      </c>
      <c r="T20" s="22">
        <f>T$19*0.9</f>
        <v>135</v>
      </c>
      <c r="U20" s="22">
        <f>T$16-T20</f>
        <v>121.80091914428368</v>
      </c>
      <c r="V20" s="22">
        <f t="shared" ref="V20:V28" si="3">IF(U20&lt;0,0,U20)</f>
        <v>121.80091914428368</v>
      </c>
      <c r="W20" s="22"/>
    </row>
    <row r="21" spans="1:24" x14ac:dyDescent="0.2">
      <c r="D21" s="29"/>
      <c r="E21" s="11" t="s">
        <v>10</v>
      </c>
      <c r="F21" s="22">
        <f>$F$19*0.8</f>
        <v>77.327541431323482</v>
      </c>
      <c r="G21" s="22">
        <f t="shared" si="0"/>
        <v>-15.668114642169144</v>
      </c>
      <c r="H21" s="22">
        <f t="shared" si="1"/>
        <v>0</v>
      </c>
      <c r="I21" s="22"/>
      <c r="J21" s="3"/>
      <c r="K21" s="3"/>
      <c r="L21" s="11" t="s">
        <v>10</v>
      </c>
      <c r="M21" s="22">
        <f>M$19*0.8</f>
        <v>120</v>
      </c>
      <c r="N21" s="22">
        <f t="shared" ref="N21:N28" si="4">M$16-M21</f>
        <v>36.730172966719039</v>
      </c>
      <c r="O21" s="22">
        <f t="shared" si="2"/>
        <v>36.730172966719039</v>
      </c>
      <c r="P21" s="22"/>
      <c r="Q21" s="3"/>
      <c r="R21" s="3"/>
      <c r="S21" s="11" t="s">
        <v>10</v>
      </c>
      <c r="T21" s="22">
        <f>T$19*0.8</f>
        <v>120</v>
      </c>
      <c r="U21" s="22">
        <f t="shared" ref="U21:U28" si="5">T$16-T21</f>
        <v>136.80091914428368</v>
      </c>
      <c r="V21" s="22">
        <f t="shared" si="3"/>
        <v>136.80091914428368</v>
      </c>
      <c r="W21" s="22"/>
    </row>
    <row r="22" spans="1:24" x14ac:dyDescent="0.2">
      <c r="E22" s="11" t="s">
        <v>11</v>
      </c>
      <c r="F22" s="22">
        <f>$F$19*0.7</f>
        <v>67.661598752408025</v>
      </c>
      <c r="G22" s="22">
        <f t="shared" si="0"/>
        <v>-6.0021719632536872</v>
      </c>
      <c r="H22" s="22">
        <f t="shared" si="1"/>
        <v>0</v>
      </c>
      <c r="I22" s="22"/>
      <c r="J22" s="3"/>
      <c r="K22" s="3"/>
      <c r="L22" s="11" t="s">
        <v>11</v>
      </c>
      <c r="M22" s="22">
        <f>M$19*0.7</f>
        <v>105</v>
      </c>
      <c r="N22" s="22">
        <f t="shared" si="4"/>
        <v>51.730172966719039</v>
      </c>
      <c r="O22" s="22">
        <f t="shared" si="2"/>
        <v>51.730172966719039</v>
      </c>
      <c r="P22" s="22"/>
      <c r="Q22" s="3"/>
      <c r="R22" s="3"/>
      <c r="S22" s="11" t="s">
        <v>11</v>
      </c>
      <c r="T22" s="22">
        <f>T$19*0.7</f>
        <v>105</v>
      </c>
      <c r="U22" s="22">
        <f t="shared" si="5"/>
        <v>151.80091914428368</v>
      </c>
      <c r="V22" s="22">
        <f t="shared" si="3"/>
        <v>151.80091914428368</v>
      </c>
      <c r="W22" s="22"/>
    </row>
    <row r="23" spans="1:24" x14ac:dyDescent="0.2">
      <c r="A23" s="1"/>
      <c r="D23" s="1"/>
      <c r="E23" s="11" t="s">
        <v>12</v>
      </c>
      <c r="F23" s="22">
        <f>$F$19*0.6</f>
        <v>57.995656073492597</v>
      </c>
      <c r="G23" s="22">
        <f t="shared" si="0"/>
        <v>3.663770715661741</v>
      </c>
      <c r="H23" s="22">
        <f t="shared" si="1"/>
        <v>3.663770715661741</v>
      </c>
      <c r="I23" s="22"/>
      <c r="J23" s="3"/>
      <c r="K23" s="3"/>
      <c r="L23" s="11" t="s">
        <v>12</v>
      </c>
      <c r="M23" s="22">
        <f>M$19*0.6</f>
        <v>90</v>
      </c>
      <c r="N23" s="22">
        <f t="shared" si="4"/>
        <v>66.730172966719039</v>
      </c>
      <c r="O23" s="22">
        <f t="shared" si="2"/>
        <v>66.730172966719039</v>
      </c>
      <c r="P23" s="22"/>
      <c r="Q23" s="3"/>
      <c r="R23" s="3"/>
      <c r="S23" s="11" t="s">
        <v>12</v>
      </c>
      <c r="T23" s="22">
        <f>T$19*0.6</f>
        <v>90</v>
      </c>
      <c r="U23" s="22">
        <f t="shared" si="5"/>
        <v>166.80091914428368</v>
      </c>
      <c r="V23" s="22">
        <f t="shared" si="3"/>
        <v>166.80091914428368</v>
      </c>
      <c r="W23" s="22"/>
    </row>
    <row r="24" spans="1:24" x14ac:dyDescent="0.2">
      <c r="E24" s="11" t="s">
        <v>13</v>
      </c>
      <c r="F24" s="22">
        <f>$F$19*0.5</f>
        <v>48.329713394577169</v>
      </c>
      <c r="G24" s="22">
        <f t="shared" si="0"/>
        <v>13.329713394577169</v>
      </c>
      <c r="H24" s="22">
        <f t="shared" si="1"/>
        <v>13.329713394577169</v>
      </c>
      <c r="I24" s="22"/>
      <c r="J24" s="3"/>
      <c r="K24" s="3"/>
      <c r="L24" s="11" t="s">
        <v>13</v>
      </c>
      <c r="M24" s="22">
        <f>M$19*0.5</f>
        <v>75</v>
      </c>
      <c r="N24" s="22">
        <f t="shared" si="4"/>
        <v>81.730172966719039</v>
      </c>
      <c r="O24" s="22">
        <f t="shared" si="2"/>
        <v>81.730172966719039</v>
      </c>
      <c r="P24" s="22"/>
      <c r="Q24" s="3"/>
      <c r="R24" s="3"/>
      <c r="S24" s="11" t="s">
        <v>13</v>
      </c>
      <c r="T24" s="22">
        <f>T$19*0.5</f>
        <v>75</v>
      </c>
      <c r="U24" s="22">
        <f t="shared" si="5"/>
        <v>181.80091914428368</v>
      </c>
      <c r="V24" s="22">
        <f t="shared" si="3"/>
        <v>181.80091914428368</v>
      </c>
      <c r="W24" s="22"/>
    </row>
    <row r="25" spans="1:24" x14ac:dyDescent="0.2">
      <c r="E25" s="11" t="s">
        <v>14</v>
      </c>
      <c r="F25" s="22">
        <f>$F$19*0.4</f>
        <v>38.663770715661741</v>
      </c>
      <c r="G25" s="22">
        <f t="shared" si="0"/>
        <v>22.995656073492597</v>
      </c>
      <c r="H25" s="22">
        <f t="shared" si="1"/>
        <v>22.995656073492597</v>
      </c>
      <c r="I25" s="22"/>
      <c r="J25" s="3"/>
      <c r="K25" s="3"/>
      <c r="L25" s="11" t="s">
        <v>14</v>
      </c>
      <c r="M25" s="22">
        <f>M$19*0.4</f>
        <v>60</v>
      </c>
      <c r="N25" s="22">
        <f t="shared" si="4"/>
        <v>96.730172966719039</v>
      </c>
      <c r="O25" s="22">
        <f t="shared" si="2"/>
        <v>96.730172966719039</v>
      </c>
      <c r="P25" s="22"/>
      <c r="Q25" s="3"/>
      <c r="R25" s="3"/>
      <c r="S25" s="11" t="s">
        <v>14</v>
      </c>
      <c r="T25" s="22">
        <f>T$19*0.4</f>
        <v>60</v>
      </c>
      <c r="U25" s="22">
        <f t="shared" si="5"/>
        <v>196.80091914428368</v>
      </c>
      <c r="V25" s="22">
        <f t="shared" si="3"/>
        <v>196.80091914428368</v>
      </c>
      <c r="W25" s="22"/>
    </row>
    <row r="26" spans="1:24" x14ac:dyDescent="0.2">
      <c r="E26" s="11" t="s">
        <v>15</v>
      </c>
      <c r="F26" s="22">
        <f>$F$19*0.3</f>
        <v>28.997828036746299</v>
      </c>
      <c r="G26" s="22">
        <f t="shared" si="0"/>
        <v>32.66159875240804</v>
      </c>
      <c r="H26" s="22">
        <f t="shared" si="1"/>
        <v>32.66159875240804</v>
      </c>
      <c r="I26" s="22"/>
      <c r="J26" s="3"/>
      <c r="K26" s="3"/>
      <c r="L26" s="11" t="s">
        <v>15</v>
      </c>
      <c r="M26" s="22">
        <f>M$19*0.3</f>
        <v>45</v>
      </c>
      <c r="N26" s="22">
        <f t="shared" si="4"/>
        <v>111.73017296671904</v>
      </c>
      <c r="O26" s="22">
        <f t="shared" si="2"/>
        <v>111.73017296671904</v>
      </c>
      <c r="P26" s="22"/>
      <c r="Q26" s="3"/>
      <c r="R26" s="3"/>
      <c r="S26" s="11" t="s">
        <v>15</v>
      </c>
      <c r="T26" s="22">
        <f>T$19*0.3</f>
        <v>45</v>
      </c>
      <c r="U26" s="22">
        <f t="shared" si="5"/>
        <v>211.80091914428368</v>
      </c>
      <c r="V26" s="22">
        <f t="shared" si="3"/>
        <v>211.80091914428368</v>
      </c>
      <c r="W26" s="22"/>
    </row>
    <row r="27" spans="1:24" x14ac:dyDescent="0.2">
      <c r="E27" s="11" t="s">
        <v>16</v>
      </c>
      <c r="F27" s="22">
        <f>$F$19*0.2</f>
        <v>19.33188535783087</v>
      </c>
      <c r="G27" s="22">
        <f t="shared" si="0"/>
        <v>42.327541431323468</v>
      </c>
      <c r="H27" s="22">
        <f t="shared" si="1"/>
        <v>42.327541431323468</v>
      </c>
      <c r="I27" s="22"/>
      <c r="J27" s="3"/>
      <c r="K27" s="3"/>
      <c r="L27" s="11" t="s">
        <v>16</v>
      </c>
      <c r="M27" s="22">
        <f>M$19*0.2</f>
        <v>30</v>
      </c>
      <c r="N27" s="22">
        <f t="shared" si="4"/>
        <v>126.73017296671904</v>
      </c>
      <c r="O27" s="22">
        <f t="shared" si="2"/>
        <v>126.73017296671904</v>
      </c>
      <c r="P27" s="22"/>
      <c r="Q27" s="3"/>
      <c r="R27" s="3"/>
      <c r="S27" s="11" t="s">
        <v>16</v>
      </c>
      <c r="T27" s="22">
        <f>T$19*0.2</f>
        <v>30</v>
      </c>
      <c r="U27" s="22">
        <f t="shared" si="5"/>
        <v>226.80091914428368</v>
      </c>
      <c r="V27" s="22">
        <f t="shared" si="3"/>
        <v>226.80091914428368</v>
      </c>
      <c r="W27" s="22"/>
    </row>
    <row r="28" spans="1:24" x14ac:dyDescent="0.2">
      <c r="E28" s="11" t="s">
        <v>17</v>
      </c>
      <c r="F28" s="22">
        <f>$F$19*0.1</f>
        <v>9.6659426789154352</v>
      </c>
      <c r="G28" s="22">
        <f t="shared" si="0"/>
        <v>51.993484110238903</v>
      </c>
      <c r="H28" s="22">
        <f t="shared" si="1"/>
        <v>51.993484110238903</v>
      </c>
      <c r="I28" s="22"/>
      <c r="J28" s="3"/>
      <c r="K28" s="3"/>
      <c r="L28" s="11" t="s">
        <v>17</v>
      </c>
      <c r="M28" s="22">
        <f>M$19*0.1</f>
        <v>15</v>
      </c>
      <c r="N28" s="22">
        <f t="shared" si="4"/>
        <v>141.73017296671904</v>
      </c>
      <c r="O28" s="22">
        <f t="shared" si="2"/>
        <v>141.73017296671904</v>
      </c>
      <c r="P28" s="22"/>
      <c r="Q28" s="3"/>
      <c r="R28" s="3"/>
      <c r="S28" s="11" t="s">
        <v>17</v>
      </c>
      <c r="T28" s="22">
        <f>T$19*0.1</f>
        <v>15</v>
      </c>
      <c r="U28" s="22">
        <f t="shared" si="5"/>
        <v>241.80091914428368</v>
      </c>
      <c r="V28" s="22">
        <f t="shared" si="3"/>
        <v>241.80091914428368</v>
      </c>
      <c r="W28" s="22"/>
    </row>
    <row r="29" spans="1:24" x14ac:dyDescent="0.2">
      <c r="E29" s="9" t="s">
        <v>18</v>
      </c>
      <c r="F29" s="41">
        <f>SUM(F19:F28)*12</f>
        <v>6379.5221680841878</v>
      </c>
      <c r="G29" s="41">
        <f>SUM(G19:G28)*12</f>
        <v>1019.6090466143343</v>
      </c>
      <c r="H29" s="41">
        <f>SUM(H19:H28)*12</f>
        <v>2003.6611737324231</v>
      </c>
      <c r="I29" s="41"/>
      <c r="J29" s="12"/>
      <c r="K29" s="12"/>
      <c r="L29" s="12"/>
      <c r="M29" s="41">
        <f>SUM(M19:M28)*12</f>
        <v>9900</v>
      </c>
      <c r="N29" s="41">
        <f>SUM(N19:N28)*12</f>
        <v>8907.620756006283</v>
      </c>
      <c r="O29" s="41">
        <f>SUM(O19:O28)*12</f>
        <v>8907.620756006283</v>
      </c>
      <c r="P29" s="41"/>
      <c r="Q29" s="12"/>
      <c r="R29" s="12"/>
      <c r="S29" s="12"/>
      <c r="T29" s="41">
        <f>SUM(T19:T28)*12</f>
        <v>9900</v>
      </c>
      <c r="U29" s="41">
        <f>SUM(U19:U28)*12</f>
        <v>20916.110297314037</v>
      </c>
      <c r="V29" s="41">
        <f>SUM(V19:V28)*12</f>
        <v>20916.110297314037</v>
      </c>
      <c r="W29" s="41"/>
      <c r="X29" s="12"/>
    </row>
    <row r="30" spans="1:24" ht="16" thickBot="1" x14ac:dyDescent="0.25">
      <c r="G30" s="13"/>
      <c r="H30" s="3"/>
      <c r="I30" s="3"/>
      <c r="J30" s="3"/>
      <c r="K30" s="3"/>
      <c r="L30" s="3"/>
      <c r="M30" s="3"/>
      <c r="N30" s="3"/>
      <c r="O30" s="3"/>
      <c r="P30" s="3"/>
      <c r="Q30" s="3"/>
      <c r="R30" s="3"/>
      <c r="S30" s="3"/>
      <c r="T30" s="22"/>
      <c r="U30" s="22"/>
      <c r="V30" s="22"/>
      <c r="W30" s="22"/>
    </row>
    <row r="31" spans="1:24" ht="16" thickBot="1" x14ac:dyDescent="0.25">
      <c r="G31" s="17" t="s">
        <v>49</v>
      </c>
      <c r="H31" s="42">
        <f>H29</f>
        <v>2003.6611737324231</v>
      </c>
      <c r="I31" s="3"/>
      <c r="J31" s="3"/>
      <c r="K31" s="3"/>
      <c r="N31" s="17" t="s">
        <v>49</v>
      </c>
      <c r="O31" s="42">
        <f>O29</f>
        <v>8907.620756006283</v>
      </c>
      <c r="P31" s="3"/>
      <c r="Q31" s="3"/>
      <c r="R31" s="3"/>
      <c r="U31" s="17" t="s">
        <v>49</v>
      </c>
      <c r="V31" s="42">
        <f>V29</f>
        <v>20916.110297314037</v>
      </c>
      <c r="W31" s="22"/>
    </row>
    <row r="32" spans="1:24" x14ac:dyDescent="0.2">
      <c r="G32" s="25"/>
      <c r="H32" s="14"/>
      <c r="I32" s="14"/>
      <c r="J32" s="14"/>
      <c r="K32" s="14"/>
    </row>
    <row r="33" spans="5:23" x14ac:dyDescent="0.2">
      <c r="G33" s="3"/>
      <c r="U33" s="3"/>
    </row>
    <row r="34" spans="5:23" x14ac:dyDescent="0.2">
      <c r="U34" s="4"/>
      <c r="V34" s="2"/>
      <c r="W34" s="2"/>
    </row>
    <row r="37" spans="5:23" x14ac:dyDescent="0.2">
      <c r="F37" s="221"/>
      <c r="G37" s="221"/>
      <c r="H37" s="221"/>
      <c r="I37" s="221"/>
      <c r="M37" s="221"/>
      <c r="N37" s="221"/>
      <c r="O37" s="221"/>
      <c r="P37" s="221"/>
    </row>
    <row r="38" spans="5:23" x14ac:dyDescent="0.2">
      <c r="F38"/>
      <c r="G38" s="3"/>
      <c r="N38" s="3"/>
    </row>
    <row r="39" spans="5:23" x14ac:dyDescent="0.2">
      <c r="F39" s="46"/>
      <c r="G39" s="46"/>
      <c r="H39" s="46"/>
      <c r="I39" s="46"/>
      <c r="J39" s="3"/>
      <c r="M39" s="46"/>
      <c r="N39" s="46"/>
      <c r="O39" s="46"/>
      <c r="P39" s="46"/>
    </row>
    <row r="40" spans="5:23" x14ac:dyDescent="0.2">
      <c r="E40" s="48"/>
      <c r="F40" s="47"/>
      <c r="G40" s="47"/>
      <c r="H40" s="47"/>
      <c r="I40" s="47"/>
      <c r="J40" s="3"/>
      <c r="L40" s="36"/>
      <c r="M40" s="47"/>
      <c r="N40" s="47"/>
      <c r="O40" s="47"/>
      <c r="P40" s="47"/>
    </row>
    <row r="41" spans="5:23" x14ac:dyDescent="0.2">
      <c r="E41" s="48"/>
      <c r="F41" s="47"/>
      <c r="G41" s="47"/>
      <c r="H41" s="47"/>
      <c r="I41" s="47"/>
      <c r="J41" s="3"/>
      <c r="L41" s="36"/>
      <c r="M41" s="47"/>
      <c r="N41" s="47"/>
      <c r="O41" s="47"/>
      <c r="P41" s="47"/>
    </row>
    <row r="42" spans="5:23" x14ac:dyDescent="0.2">
      <c r="E42" s="48"/>
      <c r="F42" s="47"/>
      <c r="G42" s="47"/>
      <c r="H42" s="47"/>
      <c r="I42" s="47"/>
      <c r="L42" s="36"/>
      <c r="M42" s="47"/>
      <c r="N42" s="47"/>
      <c r="O42" s="47"/>
      <c r="P42" s="47"/>
    </row>
    <row r="43" spans="5:23" x14ac:dyDescent="0.2">
      <c r="E43" s="36"/>
      <c r="F43"/>
      <c r="G43" s="3"/>
      <c r="H43" s="3"/>
      <c r="L43" s="36"/>
      <c r="N43" s="3"/>
      <c r="O43" s="3"/>
    </row>
    <row r="44" spans="5:23" x14ac:dyDescent="0.2">
      <c r="F44"/>
      <c r="G44" s="3"/>
      <c r="N44" s="3"/>
    </row>
    <row r="45" spans="5:23" x14ac:dyDescent="0.2">
      <c r="F45"/>
      <c r="G45" s="3"/>
      <c r="N45" s="3"/>
    </row>
    <row r="46" spans="5:23" x14ac:dyDescent="0.2">
      <c r="F46" s="221"/>
      <c r="G46" s="221"/>
      <c r="H46" s="221"/>
      <c r="I46" s="221"/>
      <c r="M46" s="221"/>
      <c r="N46" s="221"/>
      <c r="O46" s="221"/>
      <c r="P46" s="221"/>
    </row>
    <row r="47" spans="5:23" x14ac:dyDescent="0.2">
      <c r="F47"/>
      <c r="G47" s="3"/>
      <c r="N47" s="3"/>
    </row>
    <row r="48" spans="5:23" x14ac:dyDescent="0.2">
      <c r="F48" s="46"/>
      <c r="G48" s="46"/>
      <c r="H48" s="46"/>
      <c r="I48" s="46"/>
      <c r="M48" s="46"/>
      <c r="N48" s="46"/>
      <c r="O48" s="46"/>
      <c r="P48" s="46"/>
    </row>
    <row r="49" spans="5:16" x14ac:dyDescent="0.2">
      <c r="E49" s="48"/>
      <c r="F49" s="47"/>
      <c r="G49" s="47"/>
      <c r="H49" s="47"/>
      <c r="I49" s="47"/>
      <c r="L49" s="36"/>
      <c r="M49" s="47"/>
      <c r="N49" s="47"/>
      <c r="O49" s="47"/>
      <c r="P49" s="47"/>
    </row>
    <row r="50" spans="5:16" x14ac:dyDescent="0.2">
      <c r="E50" s="48"/>
      <c r="F50" s="47"/>
      <c r="G50" s="47"/>
      <c r="H50" s="47"/>
      <c r="I50" s="47"/>
      <c r="L50" s="36"/>
      <c r="M50" s="47"/>
      <c r="N50" s="47"/>
      <c r="O50" s="47"/>
      <c r="P50" s="47"/>
    </row>
    <row r="51" spans="5:16" x14ac:dyDescent="0.2">
      <c r="E51" s="48"/>
      <c r="F51" s="47"/>
      <c r="G51" s="47"/>
      <c r="H51" s="47"/>
      <c r="I51" s="47"/>
      <c r="L51" s="36"/>
      <c r="M51" s="47"/>
      <c r="N51" s="47"/>
      <c r="O51" s="47"/>
      <c r="P51" s="47"/>
    </row>
    <row r="52" spans="5:16" x14ac:dyDescent="0.2">
      <c r="F52"/>
      <c r="G52" s="3"/>
    </row>
  </sheetData>
  <mergeCells count="8">
    <mergeCell ref="T3:W3"/>
    <mergeCell ref="F37:I37"/>
    <mergeCell ref="M37:P37"/>
    <mergeCell ref="B9:C9"/>
    <mergeCell ref="F46:I46"/>
    <mergeCell ref="M46:P46"/>
    <mergeCell ref="F3:I3"/>
    <mergeCell ref="M3:P3"/>
  </mergeCells>
  <conditionalFormatting sqref="H31:K31 O31:R31">
    <cfRule type="cellIs" dxfId="19" priority="6" operator="lessThan">
      <formula>0</formula>
    </cfRule>
    <cfRule type="cellIs" dxfId="18" priority="7" operator="greaterThan">
      <formula>0</formula>
    </cfRule>
  </conditionalFormatting>
  <conditionalFormatting sqref="I19:K28">
    <cfRule type="cellIs" dxfId="17" priority="14" operator="equal">
      <formula>6500</formula>
    </cfRule>
  </conditionalFormatting>
  <conditionalFormatting sqref="P19:R28">
    <cfRule type="cellIs" dxfId="16" priority="2" operator="equal">
      <formula>6500</formula>
    </cfRule>
  </conditionalFormatting>
  <conditionalFormatting sqref="V31">
    <cfRule type="cellIs" dxfId="15" priority="8" operator="lessThan">
      <formula>0</formula>
    </cfRule>
    <cfRule type="cellIs" dxfId="14" priority="9" operator="greaterThan">
      <formula>0</formula>
    </cfRule>
  </conditionalFormatting>
  <conditionalFormatting sqref="W19:W28">
    <cfRule type="cellIs" dxfId="13" priority="1" operator="equal">
      <formula>6500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c025f04-a43f-4c85-8389-9e16becf814f" xsi:nil="true"/>
    <lcf76f155ced4ddcb4097134ff3c332f xmlns="833d156f-d915-481e-9200-61dc00a2839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19D33F74886DD4DBE149F4FB8BE2D6F" ma:contentTypeVersion="13" ma:contentTypeDescription="Een nieuw document maken." ma:contentTypeScope="" ma:versionID="43d545cdeb6f9bdfc5f072798cf4786c">
  <xsd:schema xmlns:xsd="http://www.w3.org/2001/XMLSchema" xmlns:xs="http://www.w3.org/2001/XMLSchema" xmlns:p="http://schemas.microsoft.com/office/2006/metadata/properties" xmlns:ns2="833d156f-d915-481e-9200-61dc00a2839d" xmlns:ns3="ac025f04-a43f-4c85-8389-9e16becf814f" targetNamespace="http://schemas.microsoft.com/office/2006/metadata/properties" ma:root="true" ma:fieldsID="59cd299449d924a6cfb96ffa6f27a1aa" ns2:_="" ns3:_="">
    <xsd:import namespace="833d156f-d915-481e-9200-61dc00a2839d"/>
    <xsd:import namespace="ac025f04-a43f-4c85-8389-9e16becf814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3d156f-d915-481e-9200-61dc00a283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6293b553-afb1-40e4-80db-8ae645cb8e7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c025f04-a43f-4c85-8389-9e16becf814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70cfb1d-ad31-4e3c-8a0b-62217d07da24}" ma:internalName="TaxCatchAll" ma:showField="CatchAllData" ma:web="ac025f04-a43f-4c85-8389-9e16becf81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EFC5C55-D3A9-4A09-AC64-CA72CE209B1B}">
  <ds:schemaRefs>
    <ds:schemaRef ds:uri="http://schemas.microsoft.com/office/2006/documentManagement/types"/>
    <ds:schemaRef ds:uri="http://purl.org/dc/dcmitype/"/>
    <ds:schemaRef ds:uri="http://purl.org/dc/terms/"/>
    <ds:schemaRef ds:uri="http://schemas.microsoft.com/office/2006/metadata/properties"/>
    <ds:schemaRef ds:uri="http://schemas.openxmlformats.org/package/2006/metadata/core-properties"/>
    <ds:schemaRef ds:uri="http://www.w3.org/XML/1998/namespace"/>
    <ds:schemaRef ds:uri="http://schemas.microsoft.com/office/infopath/2007/PartnerControls"/>
    <ds:schemaRef ds:uri="ac025f04-a43f-4c85-8389-9e16becf814f"/>
    <ds:schemaRef ds:uri="833d156f-d915-481e-9200-61dc00a2839d"/>
    <ds:schemaRef ds:uri="http://purl.org/dc/elements/1.1/"/>
  </ds:schemaRefs>
</ds:datastoreItem>
</file>

<file path=customXml/itemProps2.xml><?xml version="1.0" encoding="utf-8"?>
<ds:datastoreItem xmlns:ds="http://schemas.openxmlformats.org/officeDocument/2006/customXml" ds:itemID="{3EDF68D0-ACA5-4C40-89EF-961D48526E1A}">
  <ds:schemaRefs>
    <ds:schemaRef ds:uri="http://schemas.microsoft.com/sharepoint/v3/contenttype/forms"/>
  </ds:schemaRefs>
</ds:datastoreItem>
</file>

<file path=customXml/itemProps3.xml><?xml version="1.0" encoding="utf-8"?>
<ds:datastoreItem xmlns:ds="http://schemas.openxmlformats.org/officeDocument/2006/customXml" ds:itemID="{FC500EE7-D0D4-430A-9F2E-D295224DE5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3d156f-d915-481e-9200-61dc00a2839d"/>
    <ds:schemaRef ds:uri="ac025f04-a43f-4c85-8389-9e16becf81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10</vt:i4>
      </vt:variant>
    </vt:vector>
  </HeadingPairs>
  <TitlesOfParts>
    <vt:vector size="10" baseType="lpstr">
      <vt:lpstr>EERST LEZEN</vt:lpstr>
      <vt:lpstr>Input</vt:lpstr>
      <vt:lpstr>Output - grote VvE's</vt:lpstr>
      <vt:lpstr>Output - kleine VvE's</vt:lpstr>
      <vt:lpstr>Aannames over draagkracht</vt:lpstr>
      <vt:lpstr>BEREKENINGEN HIERNA</vt:lpstr>
      <vt:lpstr>Aanv. subsidie + ledenlening</vt:lpstr>
      <vt:lpstr>Aanv. subsidie</vt:lpstr>
      <vt:lpstr>Ledenlening</vt:lpstr>
      <vt:lpstr>Overig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Feith, Vincent</dc:creator>
  <cp:keywords/>
  <dc:description/>
  <cp:lastModifiedBy>Mees van Tooren | Klimaatwerk</cp:lastModifiedBy>
  <cp:revision/>
  <dcterms:created xsi:type="dcterms:W3CDTF">2025-09-24T13:09:45Z</dcterms:created>
  <dcterms:modified xsi:type="dcterms:W3CDTF">2026-03-31T12:52:26Z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0x010100F19D33F74886DD4DBE149F4FB8BE2D6F</vt:lpwstr>
  </property>
  <property fmtid="{D5CDD505-2E9C-101B-9397-08002B2CF9AE}" pid="3" name="MediaServiceImageTags">
    <vt:lpwstr/>
  </property>
</Properties>
</file>